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8_{860ADAD4-25B2-4A07-B686-8BBABC3C4AA2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</sheets>
  <definedNames>
    <definedName name="_xlnm._FilterDatabase" localSheetId="1" hidden="1">'2.melléklet.Önkormányzat.és int'!$B$3:$AO$23</definedName>
    <definedName name="_xlnm.Print_Area" localSheetId="9">'10.melléklet.létszám'!$A$1:$J$17</definedName>
    <definedName name="_xlnm.Print_Area" localSheetId="10">'11.melléklet.Beruházás'!$A$1:$D$29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">'2.melléklet.Önkormányzat.és int'!$A$1:$AP$44</definedName>
    <definedName name="_xlnm.Print_Area" localSheetId="8">'9. Óvoda kiad'!$A$2:$AH$14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0" l="1"/>
  <c r="E33" i="40" s="1"/>
  <c r="E36" i="40" s="1"/>
  <c r="E13" i="39"/>
  <c r="E29" i="38"/>
  <c r="E17" i="38"/>
  <c r="E26" i="38"/>
  <c r="D11" i="38"/>
  <c r="E24" i="36"/>
  <c r="D28" i="36"/>
  <c r="E8" i="36"/>
  <c r="AV71" i="26"/>
  <c r="AN48" i="22"/>
  <c r="AO48" i="22"/>
  <c r="AP66" i="26"/>
  <c r="AV55" i="26"/>
  <c r="AV66" i="26" s="1"/>
  <c r="AU55" i="26"/>
  <c r="AM66" i="26"/>
  <c r="AJ66" i="26"/>
  <c r="AG66" i="26"/>
  <c r="AD66" i="26"/>
  <c r="AA66" i="26"/>
  <c r="R66" i="26"/>
  <c r="O66" i="26"/>
  <c r="O53" i="26"/>
  <c r="O67" i="26" s="1"/>
  <c r="O52" i="26"/>
  <c r="O65" i="26" s="1"/>
  <c r="O68" i="26" s="1"/>
  <c r="E53" i="36" s="1"/>
  <c r="L53" i="26"/>
  <c r="L52" i="26"/>
  <c r="I52" i="26"/>
  <c r="F53" i="26"/>
  <c r="F52" i="26"/>
  <c r="AS59" i="26"/>
  <c r="AY59" i="26" s="1"/>
  <c r="AQ43" i="22"/>
  <c r="AN43" i="22"/>
  <c r="AK43" i="22"/>
  <c r="AH43" i="22"/>
  <c r="AH41" i="22"/>
  <c r="AE44" i="22"/>
  <c r="AE43" i="22"/>
  <c r="AE42" i="22"/>
  <c r="AE41" i="22"/>
  <c r="AB43" i="22"/>
  <c r="AB41" i="22"/>
  <c r="Y41" i="22"/>
  <c r="Y43" i="22"/>
  <c r="V41" i="22"/>
  <c r="S43" i="22"/>
  <c r="P43" i="22"/>
  <c r="P42" i="22"/>
  <c r="P41" i="22"/>
  <c r="P44" i="22" s="1"/>
  <c r="E21" i="36" s="1"/>
  <c r="M43" i="22"/>
  <c r="J43" i="22"/>
  <c r="J41" i="22"/>
  <c r="P39" i="22"/>
  <c r="AB25" i="22"/>
  <c r="G25" i="22"/>
  <c r="Y25" i="22"/>
  <c r="AB28" i="22"/>
  <c r="AB42" i="22" s="1"/>
  <c r="Y28" i="22"/>
  <c r="Y42" i="22" s="1"/>
  <c r="AE25" i="22"/>
  <c r="AE26" i="22"/>
  <c r="G26" i="22"/>
  <c r="AQ17" i="22"/>
  <c r="AQ10" i="22"/>
  <c r="AQ8" i="22"/>
  <c r="AE36" i="22"/>
  <c r="W36" i="22"/>
  <c r="Y36" i="22"/>
  <c r="V36" i="22"/>
  <c r="S38" i="22"/>
  <c r="S36" i="22" s="1"/>
  <c r="P36" i="22"/>
  <c r="M36" i="22"/>
  <c r="J36" i="22"/>
  <c r="AK34" i="22"/>
  <c r="AK33" i="22" s="1"/>
  <c r="AH33" i="22"/>
  <c r="AE33" i="22"/>
  <c r="Y33" i="22"/>
  <c r="V33" i="22"/>
  <c r="S33" i="22"/>
  <c r="P33" i="22"/>
  <c r="M33" i="22"/>
  <c r="J33" i="22"/>
  <c r="AQ31" i="22"/>
  <c r="AN31" i="22"/>
  <c r="AN30" i="22"/>
  <c r="AN29" i="22" s="1"/>
  <c r="AK30" i="22"/>
  <c r="AK29" i="22" s="1"/>
  <c r="AH29" i="22"/>
  <c r="AE29" i="22"/>
  <c r="AE39" i="22" s="1"/>
  <c r="Y29" i="22"/>
  <c r="Y39" i="22" s="1"/>
  <c r="V29" i="22"/>
  <c r="V39" i="22" s="1"/>
  <c r="S29" i="22"/>
  <c r="S39" i="22" s="1"/>
  <c r="P29" i="22"/>
  <c r="M29" i="22"/>
  <c r="M39" i="22" s="1"/>
  <c r="J29" i="22"/>
  <c r="J39" i="22" s="1"/>
  <c r="AQ27" i="22"/>
  <c r="AN28" i="22"/>
  <c r="AN26" i="22"/>
  <c r="AN25" i="22"/>
  <c r="AK28" i="22"/>
  <c r="AK26" i="22"/>
  <c r="AK25" i="22"/>
  <c r="AH28" i="22"/>
  <c r="AH26" i="22"/>
  <c r="AH25" i="22"/>
  <c r="Y26" i="22"/>
  <c r="V28" i="22"/>
  <c r="V42" i="22" s="1"/>
  <c r="V25" i="22"/>
  <c r="S28" i="22"/>
  <c r="S42" i="22" s="1"/>
  <c r="S26" i="22"/>
  <c r="S41" i="22" s="1"/>
  <c r="S44" i="22" s="1"/>
  <c r="E18" i="36" s="1"/>
  <c r="E16" i="36" s="1"/>
  <c r="S25" i="22"/>
  <c r="P28" i="22"/>
  <c r="P26" i="22"/>
  <c r="P25" i="22"/>
  <c r="M28" i="22"/>
  <c r="M42" i="22" s="1"/>
  <c r="M26" i="22"/>
  <c r="M41" i="22" s="1"/>
  <c r="M25" i="22"/>
  <c r="J28" i="22"/>
  <c r="J42" i="22" s="1"/>
  <c r="J26" i="22"/>
  <c r="J25" i="22"/>
  <c r="AQ25" i="22" s="1"/>
  <c r="G28" i="22"/>
  <c r="AQ21" i="22"/>
  <c r="AQ20" i="22"/>
  <c r="AQ19" i="22"/>
  <c r="AQ18" i="22"/>
  <c r="AQ16" i="22"/>
  <c r="AQ15" i="22"/>
  <c r="AQ14" i="22"/>
  <c r="AQ13" i="22"/>
  <c r="AQ12" i="22"/>
  <c r="AQ11" i="22"/>
  <c r="AQ9" i="22"/>
  <c r="AQ22" i="22"/>
  <c r="AQ23" i="22"/>
  <c r="AQ7" i="22"/>
  <c r="AV53" i="26"/>
  <c r="AV52" i="26"/>
  <c r="AS42" i="26"/>
  <c r="AY42" i="26" s="1"/>
  <c r="AY40" i="26"/>
  <c r="AY39" i="26"/>
  <c r="AS41" i="26"/>
  <c r="AY41" i="26" s="1"/>
  <c r="AS40" i="26"/>
  <c r="AS39" i="26"/>
  <c r="AS36" i="26"/>
  <c r="AY36" i="26" s="1"/>
  <c r="AS33" i="26"/>
  <c r="AY33" i="26" s="1"/>
  <c r="AY32" i="26"/>
  <c r="AS32" i="26"/>
  <c r="AP53" i="26"/>
  <c r="AP67" i="26" s="1"/>
  <c r="AP52" i="26"/>
  <c r="AP65" i="26" s="1"/>
  <c r="AM53" i="26"/>
  <c r="AM67" i="26" s="1"/>
  <c r="AM52" i="26"/>
  <c r="AM65" i="26" s="1"/>
  <c r="AJ53" i="26"/>
  <c r="AJ67" i="26" s="1"/>
  <c r="AJ52" i="26"/>
  <c r="AJ65" i="26" s="1"/>
  <c r="AG53" i="26"/>
  <c r="AG67" i="26" s="1"/>
  <c r="AG52" i="26"/>
  <c r="AG65" i="26" s="1"/>
  <c r="AD53" i="26"/>
  <c r="AD67" i="26" s="1"/>
  <c r="AD52" i="26"/>
  <c r="AA53" i="26"/>
  <c r="AA67" i="26" s="1"/>
  <c r="AA52" i="26"/>
  <c r="AA65" i="26" s="1"/>
  <c r="X53" i="26"/>
  <c r="X52" i="26"/>
  <c r="U53" i="26"/>
  <c r="U67" i="26" s="1"/>
  <c r="U52" i="26"/>
  <c r="U65" i="26" s="1"/>
  <c r="R53" i="26"/>
  <c r="R67" i="26" s="1"/>
  <c r="R52" i="26"/>
  <c r="R65" i="26" s="1"/>
  <c r="AV43" i="26"/>
  <c r="AM43" i="26"/>
  <c r="AM63" i="26" s="1"/>
  <c r="AJ43" i="26"/>
  <c r="AJ63" i="26" s="1"/>
  <c r="AG43" i="26"/>
  <c r="AG63" i="26" s="1"/>
  <c r="AA43" i="26"/>
  <c r="AA63" i="26" s="1"/>
  <c r="X43" i="26"/>
  <c r="X63" i="26" s="1"/>
  <c r="AS38" i="26"/>
  <c r="AY38" i="26" s="1"/>
  <c r="AS37" i="26"/>
  <c r="AY37" i="26" s="1"/>
  <c r="AS35" i="26"/>
  <c r="AY35" i="26" s="1"/>
  <c r="AS34" i="26"/>
  <c r="AY34" i="26" s="1"/>
  <c r="AY31" i="26"/>
  <c r="AY30" i="26"/>
  <c r="AS30" i="26"/>
  <c r="AY29" i="26"/>
  <c r="AS29" i="26"/>
  <c r="AP43" i="26"/>
  <c r="AP63" i="26" s="1"/>
  <c r="AS28" i="26"/>
  <c r="AY28" i="26" s="1"/>
  <c r="AS27" i="26"/>
  <c r="AY27" i="26" s="1"/>
  <c r="AS26" i="26"/>
  <c r="AY26" i="26" s="1"/>
  <c r="AS25" i="26"/>
  <c r="AY25" i="26" s="1"/>
  <c r="AS24" i="26"/>
  <c r="AY24" i="26" s="1"/>
  <c r="AS23" i="26"/>
  <c r="AY23" i="26"/>
  <c r="AS22" i="26"/>
  <c r="AY22" i="26"/>
  <c r="AS21" i="26"/>
  <c r="AY21" i="26" s="1"/>
  <c r="AS20" i="26"/>
  <c r="AY20" i="26" s="1"/>
  <c r="AS19" i="26"/>
  <c r="AY19" i="26" s="1"/>
  <c r="AS18" i="26"/>
  <c r="AY18" i="26" s="1"/>
  <c r="AY17" i="26"/>
  <c r="AS16" i="26"/>
  <c r="AY16" i="26" s="1"/>
  <c r="AS15" i="26"/>
  <c r="AY15" i="26" s="1"/>
  <c r="AS17" i="26"/>
  <c r="O43" i="26"/>
  <c r="AS14" i="26"/>
  <c r="AY14" i="26" s="1"/>
  <c r="AS12" i="26"/>
  <c r="AY12" i="26" s="1"/>
  <c r="AY53" i="26" s="1"/>
  <c r="AS11" i="26"/>
  <c r="AY11" i="26" s="1"/>
  <c r="R43" i="26"/>
  <c r="R63" i="26" s="1"/>
  <c r="AS10" i="26"/>
  <c r="AY10" i="26" s="1"/>
  <c r="AD43" i="26"/>
  <c r="U43" i="26"/>
  <c r="AS9" i="26"/>
  <c r="AY9" i="26" s="1"/>
  <c r="AS8" i="26"/>
  <c r="AY8" i="26" s="1"/>
  <c r="L43" i="26"/>
  <c r="I43" i="26"/>
  <c r="F43" i="26"/>
  <c r="AS7" i="26"/>
  <c r="AY7" i="26" s="1"/>
  <c r="AP60" i="26"/>
  <c r="AM60" i="26"/>
  <c r="AJ60" i="26"/>
  <c r="AD62" i="26"/>
  <c r="X60" i="26"/>
  <c r="U60" i="26"/>
  <c r="R60" i="26"/>
  <c r="O60" i="26"/>
  <c r="L61" i="26"/>
  <c r="AD16" i="28"/>
  <c r="AD15" i="28"/>
  <c r="AD14" i="28"/>
  <c r="AA16" i="28"/>
  <c r="AA15" i="28"/>
  <c r="AA14" i="28"/>
  <c r="X16" i="28"/>
  <c r="AG62" i="26" s="1"/>
  <c r="AG60" i="26" s="1"/>
  <c r="X15" i="28"/>
  <c r="X14" i="28"/>
  <c r="R16" i="28"/>
  <c r="R15" i="28"/>
  <c r="R14" i="28"/>
  <c r="O16" i="28"/>
  <c r="O15" i="28"/>
  <c r="O14" i="28"/>
  <c r="AM57" i="26"/>
  <c r="AJ57" i="26"/>
  <c r="AG57" i="26"/>
  <c r="AA57" i="26"/>
  <c r="X57" i="26"/>
  <c r="U57" i="26"/>
  <c r="R57" i="26"/>
  <c r="AL54" i="26"/>
  <c r="AM54" i="26"/>
  <c r="AI54" i="26"/>
  <c r="AJ54" i="26"/>
  <c r="AF54" i="26"/>
  <c r="AG54" i="26"/>
  <c r="X54" i="26"/>
  <c r="U55" i="26"/>
  <c r="U66" i="26" s="1"/>
  <c r="R54" i="26"/>
  <c r="Q54" i="26"/>
  <c r="O54" i="26"/>
  <c r="I12" i="27"/>
  <c r="AG12" i="27" s="1"/>
  <c r="F12" i="27"/>
  <c r="F55" i="26" s="1"/>
  <c r="I56" i="26"/>
  <c r="AI11" i="29"/>
  <c r="AI10" i="29"/>
  <c r="AI9" i="29"/>
  <c r="AI8" i="29"/>
  <c r="AI7" i="29"/>
  <c r="AD14" i="29"/>
  <c r="AD13" i="29"/>
  <c r="AD12" i="29"/>
  <c r="AA14" i="29"/>
  <c r="AA13" i="29"/>
  <c r="AA12" i="29"/>
  <c r="X14" i="29"/>
  <c r="X13" i="29"/>
  <c r="X12" i="29"/>
  <c r="U14" i="29"/>
  <c r="U13" i="29"/>
  <c r="AD58" i="26" s="1"/>
  <c r="AD57" i="26" s="1"/>
  <c r="U12" i="29"/>
  <c r="R14" i="29"/>
  <c r="R13" i="29"/>
  <c r="R12" i="29"/>
  <c r="O14" i="29"/>
  <c r="O13" i="29"/>
  <c r="O58" i="26" s="1"/>
  <c r="O57" i="26" s="1"/>
  <c r="O12" i="29"/>
  <c r="L14" i="29"/>
  <c r="L13" i="29"/>
  <c r="L58" i="26" s="1"/>
  <c r="L57" i="26" s="1"/>
  <c r="L12" i="29"/>
  <c r="I14" i="29"/>
  <c r="I13" i="29"/>
  <c r="I58" i="26" s="1"/>
  <c r="I57" i="26" s="1"/>
  <c r="I12" i="29"/>
  <c r="F14" i="29"/>
  <c r="AI14" i="29" s="1"/>
  <c r="F13" i="29"/>
  <c r="AI13" i="29" s="1"/>
  <c r="F12" i="29"/>
  <c r="AI12" i="29" s="1"/>
  <c r="AI6" i="29"/>
  <c r="AI11" i="28"/>
  <c r="AI12" i="28"/>
  <c r="AI10" i="28"/>
  <c r="AI9" i="28"/>
  <c r="AI8" i="28"/>
  <c r="U14" i="28"/>
  <c r="U16" i="28"/>
  <c r="U15" i="28"/>
  <c r="AD61" i="26" s="1"/>
  <c r="AD60" i="26" s="1"/>
  <c r="L16" i="28"/>
  <c r="L62" i="26" s="1"/>
  <c r="L15" i="28"/>
  <c r="I15" i="28"/>
  <c r="I61" i="26" s="1"/>
  <c r="I16" i="28"/>
  <c r="I62" i="26" s="1"/>
  <c r="I67" i="26" s="1"/>
  <c r="F16" i="28"/>
  <c r="F62" i="26" s="1"/>
  <c r="F15" i="28"/>
  <c r="F61" i="26" s="1"/>
  <c r="AI13" i="28"/>
  <c r="AI7" i="28"/>
  <c r="AI16" i="28" s="1"/>
  <c r="L14" i="28"/>
  <c r="I14" i="28"/>
  <c r="F14" i="28"/>
  <c r="AI14" i="28" s="1"/>
  <c r="AD13" i="27"/>
  <c r="AD12" i="27"/>
  <c r="AD11" i="27"/>
  <c r="AA13" i="27"/>
  <c r="AA12" i="27"/>
  <c r="AA11" i="27"/>
  <c r="X13" i="27"/>
  <c r="X12" i="27"/>
  <c r="X11" i="27"/>
  <c r="R13" i="27"/>
  <c r="R12" i="27"/>
  <c r="R11" i="27"/>
  <c r="AG10" i="27"/>
  <c r="AG9" i="27"/>
  <c r="AG8" i="27"/>
  <c r="AG7" i="27"/>
  <c r="U13" i="27"/>
  <c r="AD56" i="26" s="1"/>
  <c r="AD54" i="26" s="1"/>
  <c r="U12" i="27"/>
  <c r="U11" i="27"/>
  <c r="O13" i="27"/>
  <c r="O12" i="27"/>
  <c r="O11" i="27"/>
  <c r="L13" i="27"/>
  <c r="L56" i="26" s="1"/>
  <c r="L12" i="27"/>
  <c r="L55" i="26" s="1"/>
  <c r="L11" i="27"/>
  <c r="L19" i="27"/>
  <c r="L17" i="27"/>
  <c r="I13" i="27"/>
  <c r="I11" i="27"/>
  <c r="I19" i="27"/>
  <c r="I17" i="27"/>
  <c r="F13" i="27"/>
  <c r="AG13" i="27" s="1"/>
  <c r="F11" i="27"/>
  <c r="F19" i="27"/>
  <c r="F17" i="27"/>
  <c r="AA8" i="23"/>
  <c r="X8" i="23"/>
  <c r="X16" i="23"/>
  <c r="X14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AA9" i="23"/>
  <c r="AC9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AU56" i="26" s="1"/>
  <c r="X10" i="23"/>
  <c r="AV56" i="26" s="1"/>
  <c r="AV54" i="26" s="1"/>
  <c r="Y10" i="23"/>
  <c r="Z10" i="23"/>
  <c r="AA10" i="23"/>
  <c r="F10" i="23"/>
  <c r="G32" i="22" s="1"/>
  <c r="AD12" i="25"/>
  <c r="AD11" i="25"/>
  <c r="AA14" i="25"/>
  <c r="AA13" i="25"/>
  <c r="X15" i="25"/>
  <c r="X14" i="25"/>
  <c r="AV58" i="26" s="1"/>
  <c r="AV57" i="26" s="1"/>
  <c r="X13" i="25"/>
  <c r="U15" i="25"/>
  <c r="U14" i="25"/>
  <c r="U13" i="25"/>
  <c r="AD13" i="25" s="1"/>
  <c r="R15" i="25"/>
  <c r="R14" i="25"/>
  <c r="R13" i="25"/>
  <c r="O15" i="25"/>
  <c r="O14" i="25"/>
  <c r="O13" i="25"/>
  <c r="L15" i="25"/>
  <c r="L14" i="25"/>
  <c r="AD14" i="25" s="1"/>
  <c r="L13" i="25"/>
  <c r="I15" i="25"/>
  <c r="I14" i="25"/>
  <c r="I13" i="25"/>
  <c r="F15" i="25"/>
  <c r="G35" i="22" s="1"/>
  <c r="AQ35" i="22" s="1"/>
  <c r="F14" i="25"/>
  <c r="G34" i="22" s="1"/>
  <c r="G33" i="22" s="1"/>
  <c r="F13" i="25"/>
  <c r="AD9" i="25"/>
  <c r="AD8" i="25"/>
  <c r="AD6" i="25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D18" i="24"/>
  <c r="AA26" i="24"/>
  <c r="AA24" i="24"/>
  <c r="G20" i="24"/>
  <c r="H20" i="24"/>
  <c r="I20" i="24"/>
  <c r="J20" i="24"/>
  <c r="L20" i="24"/>
  <c r="M20" i="24"/>
  <c r="N20" i="24"/>
  <c r="O20" i="24"/>
  <c r="P20" i="24"/>
  <c r="Q20" i="24"/>
  <c r="R20" i="24"/>
  <c r="AH38" i="22" s="1"/>
  <c r="S20" i="24"/>
  <c r="T20" i="24"/>
  <c r="U20" i="24"/>
  <c r="V20" i="24"/>
  <c r="W20" i="24"/>
  <c r="X20" i="24"/>
  <c r="AB38" i="22" s="1"/>
  <c r="AB36" i="22" s="1"/>
  <c r="Y20" i="24"/>
  <c r="Z20" i="24"/>
  <c r="AA20" i="24"/>
  <c r="AN38" i="22" s="1"/>
  <c r="AB20" i="24"/>
  <c r="AD20" i="24"/>
  <c r="AK38" i="22" s="1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U61" i="26" s="1"/>
  <c r="AA19" i="24"/>
  <c r="AN37" i="22" s="1"/>
  <c r="AB19" i="24"/>
  <c r="AC19" i="24"/>
  <c r="AD19" i="24"/>
  <c r="AK37" i="22" s="1"/>
  <c r="AF19" i="24"/>
  <c r="F20" i="24"/>
  <c r="G38" i="22" s="1"/>
  <c r="F19" i="24"/>
  <c r="G37" i="22" s="1"/>
  <c r="F18" i="24"/>
  <c r="AH9" i="24"/>
  <c r="AH10" i="24"/>
  <c r="AH11" i="24"/>
  <c r="AH12" i="24"/>
  <c r="AH13" i="24"/>
  <c r="AH14" i="24"/>
  <c r="AH15" i="24"/>
  <c r="AH16" i="24"/>
  <c r="AH17" i="24"/>
  <c r="AH8" i="24"/>
  <c r="AF6" i="23"/>
  <c r="AF10" i="23" s="1"/>
  <c r="F7" i="23"/>
  <c r="F9" i="23" s="1"/>
  <c r="G30" i="22" s="1"/>
  <c r="AQ30" i="22" s="1"/>
  <c r="F6" i="23"/>
  <c r="F8" i="23" s="1"/>
  <c r="AF8" i="23" s="1"/>
  <c r="K24" i="26"/>
  <c r="E55" i="36" l="1"/>
  <c r="AJ68" i="26"/>
  <c r="G42" i="22"/>
  <c r="AN42" i="22"/>
  <c r="AS55" i="26"/>
  <c r="F66" i="26"/>
  <c r="AB39" i="22"/>
  <c r="F65" i="26"/>
  <c r="F68" i="26" s="1"/>
  <c r="E50" i="36" s="1"/>
  <c r="E20" i="36"/>
  <c r="F60" i="26"/>
  <c r="AS61" i="26"/>
  <c r="AY61" i="26" s="1"/>
  <c r="AQ38" i="22"/>
  <c r="G29" i="22"/>
  <c r="G43" i="22"/>
  <c r="AS62" i="26"/>
  <c r="AY62" i="26" s="1"/>
  <c r="AY67" i="26" s="1"/>
  <c r="O63" i="26"/>
  <c r="AA68" i="26"/>
  <c r="E65" i="36" s="1"/>
  <c r="AM68" i="26"/>
  <c r="E68" i="36" s="1"/>
  <c r="E67" i="36" s="1"/>
  <c r="E72" i="36" s="1"/>
  <c r="V44" i="22"/>
  <c r="E22" i="36" s="1"/>
  <c r="E23" i="36" s="1"/>
  <c r="F67" i="26"/>
  <c r="AH36" i="22"/>
  <c r="AH39" i="22" s="1"/>
  <c r="AH42" i="22"/>
  <c r="U63" i="26"/>
  <c r="J44" i="22"/>
  <c r="AH44" i="22"/>
  <c r="E32" i="36" s="1"/>
  <c r="I65" i="26"/>
  <c r="L66" i="26"/>
  <c r="L54" i="26"/>
  <c r="I60" i="26"/>
  <c r="L60" i="26"/>
  <c r="L63" i="26" s="1"/>
  <c r="AD63" i="26"/>
  <c r="R68" i="26"/>
  <c r="E54" i="36" s="1"/>
  <c r="AD65" i="26"/>
  <c r="AD68" i="26" s="1"/>
  <c r="E59" i="36" s="1"/>
  <c r="AP68" i="26"/>
  <c r="E64" i="36" s="1"/>
  <c r="E63" i="36" s="1"/>
  <c r="Y44" i="22"/>
  <c r="L65" i="26"/>
  <c r="U68" i="26"/>
  <c r="M44" i="22"/>
  <c r="AK42" i="22"/>
  <c r="AB44" i="22"/>
  <c r="L67" i="26"/>
  <c r="AH20" i="24"/>
  <c r="AK36" i="22"/>
  <c r="AK39" i="22" s="1"/>
  <c r="E36" i="36" s="1"/>
  <c r="AD15" i="25"/>
  <c r="AY52" i="26"/>
  <c r="AQ26" i="22"/>
  <c r="AF7" i="23"/>
  <c r="AF9" i="23" s="1"/>
  <c r="AH19" i="24"/>
  <c r="F56" i="26"/>
  <c r="AS56" i="26" s="1"/>
  <c r="AY56" i="26" s="1"/>
  <c r="F58" i="26"/>
  <c r="AN34" i="22"/>
  <c r="AN33" i="22" s="1"/>
  <c r="G36" i="22"/>
  <c r="G39" i="22" s="1"/>
  <c r="E30" i="36" s="1"/>
  <c r="AN36" i="22"/>
  <c r="AN39" i="22" s="1"/>
  <c r="I55" i="26"/>
  <c r="AH18" i="24"/>
  <c r="AV62" i="26"/>
  <c r="AV67" i="26" s="1"/>
  <c r="U54" i="26"/>
  <c r="AS53" i="26"/>
  <c r="AS67" i="26" s="1"/>
  <c r="E42" i="36"/>
  <c r="AV61" i="26"/>
  <c r="AG68" i="26"/>
  <c r="E61" i="36" s="1"/>
  <c r="AS60" i="26"/>
  <c r="AY60" i="26" s="1"/>
  <c r="AN41" i="22"/>
  <c r="AN44" i="22" s="1"/>
  <c r="AK41" i="22"/>
  <c r="G41" i="22"/>
  <c r="G44" i="22" s="1"/>
  <c r="AQ28" i="22"/>
  <c r="AQ42" i="22" s="1"/>
  <c r="AQ37" i="22"/>
  <c r="AQ32" i="22"/>
  <c r="AQ29" i="22" s="1"/>
  <c r="AQ34" i="22"/>
  <c r="AQ33" i="22" s="1"/>
  <c r="AS52" i="26"/>
  <c r="AY43" i="26"/>
  <c r="AS43" i="26"/>
  <c r="AI15" i="28"/>
  <c r="AG11" i="27"/>
  <c r="F16" i="22"/>
  <c r="I54" i="26" l="1"/>
  <c r="I63" i="26" s="1"/>
  <c r="I66" i="26"/>
  <c r="AY65" i="26"/>
  <c r="AS66" i="26"/>
  <c r="AY55" i="26"/>
  <c r="AY66" i="26" s="1"/>
  <c r="AS63" i="26"/>
  <c r="L68" i="26"/>
  <c r="E52" i="36" s="1"/>
  <c r="AK44" i="22"/>
  <c r="E78" i="36"/>
  <c r="E31" i="36"/>
  <c r="E34" i="36" s="1"/>
  <c r="E58" i="36"/>
  <c r="F54" i="26"/>
  <c r="F63" i="26" s="1"/>
  <c r="F57" i="26"/>
  <c r="AS57" i="26" s="1"/>
  <c r="AY57" i="26" s="1"/>
  <c r="AS58" i="26"/>
  <c r="AY58" i="26" s="1"/>
  <c r="AS54" i="26"/>
  <c r="AY54" i="26" s="1"/>
  <c r="AY63" i="26" s="1"/>
  <c r="I68" i="26"/>
  <c r="E51" i="36" s="1"/>
  <c r="E49" i="36" s="1"/>
  <c r="E66" i="36" s="1"/>
  <c r="E73" i="36" s="1"/>
  <c r="AV60" i="26"/>
  <c r="AV63" i="26" s="1"/>
  <c r="AV65" i="26"/>
  <c r="AV68" i="26" s="1"/>
  <c r="AQ44" i="22"/>
  <c r="AQ36" i="22"/>
  <c r="AQ39" i="22" s="1"/>
  <c r="AQ41" i="22"/>
  <c r="D18" i="40"/>
  <c r="D19" i="40"/>
  <c r="D20" i="40"/>
  <c r="D21" i="40"/>
  <c r="D22" i="40"/>
  <c r="D23" i="40"/>
  <c r="D24" i="40"/>
  <c r="D25" i="40"/>
  <c r="D26" i="40"/>
  <c r="D24" i="38"/>
  <c r="D23" i="38"/>
  <c r="D22" i="38"/>
  <c r="D21" i="38"/>
  <c r="D14" i="38"/>
  <c r="D10" i="38"/>
  <c r="W26" i="22"/>
  <c r="W28" i="22"/>
  <c r="E25" i="22"/>
  <c r="D29" i="36"/>
  <c r="D27" i="36"/>
  <c r="D26" i="36"/>
  <c r="AC28" i="22"/>
  <c r="AD28" i="22"/>
  <c r="AF28" i="22"/>
  <c r="AG28" i="22"/>
  <c r="AI28" i="22"/>
  <c r="AJ28" i="22"/>
  <c r="AL28" i="22"/>
  <c r="AM28" i="22"/>
  <c r="T28" i="22"/>
  <c r="E77" i="36" l="1"/>
  <c r="E43" i="36"/>
  <c r="AW72" i="26"/>
  <c r="D17" i="38"/>
  <c r="AS65" i="26"/>
  <c r="AS68" i="26" s="1"/>
  <c r="D26" i="38"/>
  <c r="E12" i="27"/>
  <c r="E55" i="26" s="1"/>
  <c r="E16" i="24" l="1"/>
  <c r="E15" i="24"/>
  <c r="E13" i="24"/>
  <c r="AG13" i="24" s="1"/>
  <c r="K17" i="24"/>
  <c r="K20" i="24" s="1"/>
  <c r="AG9" i="24"/>
  <c r="AG11" i="24"/>
  <c r="AG12" i="24"/>
  <c r="AC10" i="24"/>
  <c r="K12" i="28"/>
  <c r="AH12" i="28" s="1"/>
  <c r="K11" i="28"/>
  <c r="AH11" i="28" s="1"/>
  <c r="K10" i="28"/>
  <c r="H10" i="28"/>
  <c r="E10" i="28"/>
  <c r="K9" i="28"/>
  <c r="AH9" i="28" s="1"/>
  <c r="T8" i="28"/>
  <c r="K8" i="28"/>
  <c r="T7" i="28"/>
  <c r="K7" i="28"/>
  <c r="AG10" i="24" l="1"/>
  <c r="AC20" i="24"/>
  <c r="AC18" i="24"/>
  <c r="AH8" i="28"/>
  <c r="AH10" i="28"/>
  <c r="K13" i="28"/>
  <c r="H13" i="28"/>
  <c r="E13" i="28"/>
  <c r="AC8" i="25"/>
  <c r="E9" i="25"/>
  <c r="E14" i="25" s="1"/>
  <c r="K11" i="29"/>
  <c r="AH11" i="29" s="1"/>
  <c r="K10" i="29"/>
  <c r="AH10" i="29" s="1"/>
  <c r="K9" i="29"/>
  <c r="AH9" i="29" s="1"/>
  <c r="K8" i="29"/>
  <c r="H8" i="29"/>
  <c r="E8" i="29"/>
  <c r="K7" i="29"/>
  <c r="AH7" i="29" s="1"/>
  <c r="R9" i="22"/>
  <c r="AP9" i="22" s="1"/>
  <c r="I21" i="22"/>
  <c r="AP21" i="22" s="1"/>
  <c r="F20" i="22"/>
  <c r="AP20" i="22" s="1"/>
  <c r="F19" i="22"/>
  <c r="R19" i="22"/>
  <c r="R17" i="22"/>
  <c r="AP17" i="22" s="1"/>
  <c r="X16" i="22"/>
  <c r="X26" i="22" s="1"/>
  <c r="U14" i="22"/>
  <c r="AP14" i="22" s="1"/>
  <c r="X12" i="22"/>
  <c r="X28" i="22" s="1"/>
  <c r="U12" i="22"/>
  <c r="R11" i="22"/>
  <c r="AP11" i="22" s="1"/>
  <c r="AP10" i="22"/>
  <c r="AP13" i="22"/>
  <c r="AP15" i="22"/>
  <c r="AP18" i="22"/>
  <c r="AP22" i="22"/>
  <c r="AP23" i="22"/>
  <c r="F8" i="22"/>
  <c r="AP8" i="22" s="1"/>
  <c r="F7" i="22"/>
  <c r="AP7" i="22" s="1"/>
  <c r="T11" i="26"/>
  <c r="AR11" i="26" s="1"/>
  <c r="AR10" i="26"/>
  <c r="AR12" i="26"/>
  <c r="AR13" i="26"/>
  <c r="AR15" i="26"/>
  <c r="AR19" i="26"/>
  <c r="AR28" i="26"/>
  <c r="AR29" i="26"/>
  <c r="AR7" i="26"/>
  <c r="K38" i="26"/>
  <c r="N38" i="26"/>
  <c r="K37" i="26"/>
  <c r="AC35" i="26"/>
  <c r="K35" i="26"/>
  <c r="K34" i="26"/>
  <c r="Q31" i="26"/>
  <c r="Q30" i="26"/>
  <c r="AR30" i="26" s="1"/>
  <c r="AX30" i="26" s="1"/>
  <c r="H27" i="26"/>
  <c r="E27" i="26"/>
  <c r="H26" i="26"/>
  <c r="E26" i="26"/>
  <c r="K25" i="26"/>
  <c r="AR25" i="26" s="1"/>
  <c r="AO24" i="26"/>
  <c r="AF24" i="26"/>
  <c r="H24" i="26"/>
  <c r="E24" i="26"/>
  <c r="K23" i="26"/>
  <c r="AR23" i="26" s="1"/>
  <c r="K22" i="26"/>
  <c r="AR22" i="26" s="1"/>
  <c r="K21" i="26"/>
  <c r="AR21" i="26" s="1"/>
  <c r="AF20" i="26"/>
  <c r="AR20" i="26" s="1"/>
  <c r="K18" i="26"/>
  <c r="AR18" i="26" s="1"/>
  <c r="AC16" i="26"/>
  <c r="H16" i="26"/>
  <c r="E16" i="26"/>
  <c r="K17" i="26"/>
  <c r="AR17" i="26" s="1"/>
  <c r="K14" i="26"/>
  <c r="H14" i="26"/>
  <c r="E14" i="26"/>
  <c r="AL41" i="26"/>
  <c r="K9" i="26"/>
  <c r="E9" i="26"/>
  <c r="K8" i="26"/>
  <c r="AR8" i="26" s="1"/>
  <c r="Z7" i="23"/>
  <c r="Z9" i="23" s="1"/>
  <c r="E6" i="23"/>
  <c r="AF8" i="27"/>
  <c r="AF7" i="27"/>
  <c r="G12" i="27"/>
  <c r="H12" i="27"/>
  <c r="H55" i="26" s="1"/>
  <c r="J12" i="27"/>
  <c r="K12" i="27"/>
  <c r="K55" i="26" s="1"/>
  <c r="M12" i="27"/>
  <c r="N12" i="27"/>
  <c r="P12" i="27"/>
  <c r="Q12" i="27"/>
  <c r="T55" i="26" s="1"/>
  <c r="S12" i="27"/>
  <c r="T12" i="27"/>
  <c r="V12" i="27"/>
  <c r="W12" i="27"/>
  <c r="Y12" i="27"/>
  <c r="Z12" i="27"/>
  <c r="AB12" i="27"/>
  <c r="AC12" i="27"/>
  <c r="AF9" i="27"/>
  <c r="AF10" i="27"/>
  <c r="AE8" i="27"/>
  <c r="AE7" i="27"/>
  <c r="AH8" i="29" l="1"/>
  <c r="AR9" i="26"/>
  <c r="AR27" i="26"/>
  <c r="AP12" i="22"/>
  <c r="AR55" i="26"/>
  <c r="AR24" i="26"/>
  <c r="AP16" i="22"/>
  <c r="AF12" i="27"/>
  <c r="AR14" i="26"/>
  <c r="U28" i="22"/>
  <c r="U42" i="22" s="1"/>
  <c r="AR26" i="26"/>
  <c r="AP19" i="22"/>
  <c r="D14" i="51" l="1"/>
  <c r="C63" i="36" l="1"/>
  <c r="C17" i="40" l="1"/>
  <c r="D17" i="40" s="1"/>
  <c r="C16" i="40"/>
  <c r="D16" i="40" s="1"/>
  <c r="C15" i="40"/>
  <c r="D15" i="40" s="1"/>
  <c r="C14" i="40"/>
  <c r="D14" i="40" s="1"/>
  <c r="AI30" i="22"/>
  <c r="AI43" i="22"/>
  <c r="AO11" i="22"/>
  <c r="AO22" i="22"/>
  <c r="AO23" i="22"/>
  <c r="AO24" i="22"/>
  <c r="AO10" i="22"/>
  <c r="AO12" i="22"/>
  <c r="AO13" i="22"/>
  <c r="AO14" i="22"/>
  <c r="AO15" i="22"/>
  <c r="AO16" i="22"/>
  <c r="AO17" i="22"/>
  <c r="AO18" i="22"/>
  <c r="AO19" i="22"/>
  <c r="AO20" i="22"/>
  <c r="AO21" i="22"/>
  <c r="Q38" i="22"/>
  <c r="AQ30" i="26" l="1"/>
  <c r="AW30" i="26" s="1"/>
  <c r="AQ31" i="26"/>
  <c r="AW31" i="26" s="1"/>
  <c r="AQ32" i="26"/>
  <c r="AW32" i="26" s="1"/>
  <c r="AQ33" i="26"/>
  <c r="AW33" i="26" s="1"/>
  <c r="AQ34" i="26"/>
  <c r="AW34" i="26" s="1"/>
  <c r="AQ35" i="26"/>
  <c r="AW35" i="26" s="1"/>
  <c r="AQ36" i="26"/>
  <c r="AW36" i="26" s="1"/>
  <c r="AQ37" i="26"/>
  <c r="AW37" i="26" s="1"/>
  <c r="AQ38" i="26"/>
  <c r="AW38" i="26" s="1"/>
  <c r="AQ39" i="26"/>
  <c r="AW39" i="26" s="1"/>
  <c r="AQ40" i="26"/>
  <c r="AW40" i="26" s="1"/>
  <c r="AQ41" i="26"/>
  <c r="AW41" i="26" s="1"/>
  <c r="AQ42" i="26"/>
  <c r="AW42" i="26" s="1"/>
  <c r="D29" i="26"/>
  <c r="J16" i="26"/>
  <c r="K16" i="26" s="1"/>
  <c r="AR16" i="26" s="1"/>
  <c r="AE7" i="29"/>
  <c r="AE8" i="29"/>
  <c r="AE9" i="29"/>
  <c r="AE10" i="29"/>
  <c r="AE11" i="29"/>
  <c r="AE6" i="29"/>
  <c r="AE12" i="29" l="1"/>
  <c r="AE10" i="24"/>
  <c r="AE11" i="24"/>
  <c r="AE12" i="24"/>
  <c r="AB6" i="23" l="1"/>
  <c r="AB10" i="23" s="1"/>
  <c r="AB7" i="23"/>
  <c r="AB9" i="23" s="1"/>
  <c r="D12" i="27"/>
  <c r="AE12" i="27" s="1"/>
  <c r="AB8" i="23" l="1"/>
  <c r="G56" i="26" l="1"/>
  <c r="F26" i="22"/>
  <c r="H26" i="22"/>
  <c r="I26" i="22"/>
  <c r="I41" i="22" s="1"/>
  <c r="L26" i="22"/>
  <c r="N26" i="22"/>
  <c r="N41" i="22" s="1"/>
  <c r="O26" i="22"/>
  <c r="O41" i="22" s="1"/>
  <c r="Q26" i="22"/>
  <c r="Q41" i="22" s="1"/>
  <c r="R26" i="22"/>
  <c r="R41" i="22" s="1"/>
  <c r="T41" i="22"/>
  <c r="U41" i="22"/>
  <c r="W41" i="22"/>
  <c r="X41" i="22"/>
  <c r="AC26" i="22"/>
  <c r="AC41" i="22" s="1"/>
  <c r="AD26" i="22"/>
  <c r="AD41" i="22" s="1"/>
  <c r="AF26" i="22"/>
  <c r="AF41" i="22" s="1"/>
  <c r="AG26" i="22"/>
  <c r="AG41" i="22" s="1"/>
  <c r="AI26" i="22"/>
  <c r="AJ26" i="22"/>
  <c r="AL26" i="22"/>
  <c r="AM26" i="22"/>
  <c r="E28" i="22"/>
  <c r="E26" i="22"/>
  <c r="D24" i="36"/>
  <c r="C24" i="36"/>
  <c r="L41" i="22" l="1"/>
  <c r="AP26" i="22"/>
  <c r="E66" i="26"/>
  <c r="H66" i="26"/>
  <c r="K66" i="26"/>
  <c r="M66" i="26"/>
  <c r="N66" i="26"/>
  <c r="P66" i="26"/>
  <c r="Q66" i="26"/>
  <c r="S66" i="26"/>
  <c r="T66" i="26"/>
  <c r="V66" i="26"/>
  <c r="W66" i="26"/>
  <c r="Y66" i="26"/>
  <c r="Z66" i="26"/>
  <c r="AC66" i="26"/>
  <c r="AE66" i="26"/>
  <c r="AF66" i="26"/>
  <c r="AH66" i="26"/>
  <c r="AI66" i="26"/>
  <c r="AK66" i="26"/>
  <c r="AL66" i="26"/>
  <c r="AN66" i="26"/>
  <c r="AO66" i="26"/>
  <c r="AR66" i="26"/>
  <c r="AT66" i="26"/>
  <c r="C27" i="40" l="1"/>
  <c r="AE62" i="26"/>
  <c r="C26" i="38" l="1"/>
  <c r="AQ24" i="26"/>
  <c r="AW24" i="26" s="1"/>
  <c r="C11" i="39" l="1"/>
  <c r="D43" i="26"/>
  <c r="AO8" i="22" l="1"/>
  <c r="AO9" i="22"/>
  <c r="F25" i="22"/>
  <c r="H25" i="22"/>
  <c r="I25" i="22"/>
  <c r="L25" i="22"/>
  <c r="N25" i="22"/>
  <c r="O25" i="22"/>
  <c r="Q25" i="22"/>
  <c r="T25" i="22"/>
  <c r="C22" i="36" s="1"/>
  <c r="U25" i="22"/>
  <c r="W25" i="22"/>
  <c r="X25" i="22"/>
  <c r="AC25" i="22"/>
  <c r="AD25" i="22"/>
  <c r="AF25" i="22"/>
  <c r="AG25" i="22"/>
  <c r="AI25" i="22"/>
  <c r="AJ25" i="22"/>
  <c r="AL25" i="22"/>
  <c r="AM25" i="22"/>
  <c r="K25" i="22" l="1"/>
  <c r="AO25" i="22" s="1"/>
  <c r="K26" i="22"/>
  <c r="K41" i="22" s="1"/>
  <c r="D18" i="24"/>
  <c r="AE9" i="24"/>
  <c r="AE20" i="24" s="1"/>
  <c r="AE13" i="24"/>
  <c r="AE14" i="24"/>
  <c r="AE15" i="24"/>
  <c r="AE16" i="24"/>
  <c r="AE17" i="24"/>
  <c r="AE8" i="24"/>
  <c r="AE8" i="28"/>
  <c r="AE9" i="28"/>
  <c r="AE10" i="28"/>
  <c r="AE11" i="28"/>
  <c r="AE12" i="28"/>
  <c r="AE13" i="28"/>
  <c r="AE19" i="24" l="1"/>
  <c r="AE18" i="24"/>
  <c r="F28" i="22"/>
  <c r="H28" i="22"/>
  <c r="H42" i="22" s="1"/>
  <c r="I28" i="22"/>
  <c r="I42" i="22" s="1"/>
  <c r="K28" i="22"/>
  <c r="K42" i="22" s="1"/>
  <c r="L28" i="22"/>
  <c r="L42" i="22" s="1"/>
  <c r="N28" i="22"/>
  <c r="N42" i="22" s="1"/>
  <c r="O28" i="22"/>
  <c r="O42" i="22" s="1"/>
  <c r="Q28" i="22"/>
  <c r="Q42" i="22" s="1"/>
  <c r="R28" i="22"/>
  <c r="T42" i="22"/>
  <c r="W42" i="22"/>
  <c r="X42" i="22"/>
  <c r="AC42" i="22"/>
  <c r="AD42" i="22"/>
  <c r="AP28" i="22" l="1"/>
  <c r="K43" i="26"/>
  <c r="E53" i="26" l="1"/>
  <c r="G53" i="26"/>
  <c r="H53" i="26"/>
  <c r="J53" i="26"/>
  <c r="K53" i="26"/>
  <c r="M53" i="26"/>
  <c r="N53" i="26"/>
  <c r="P53" i="26"/>
  <c r="Q53" i="26"/>
  <c r="S53" i="26"/>
  <c r="T53" i="26"/>
  <c r="V53" i="26"/>
  <c r="W53" i="26"/>
  <c r="Y53" i="26"/>
  <c r="Z53" i="26"/>
  <c r="AB53" i="26"/>
  <c r="AC53" i="26"/>
  <c r="AE53" i="26"/>
  <c r="AF53" i="26"/>
  <c r="AH53" i="26"/>
  <c r="AI53" i="26"/>
  <c r="AK53" i="26"/>
  <c r="AL53" i="26"/>
  <c r="AN53" i="26"/>
  <c r="AO53" i="26"/>
  <c r="AT53" i="26"/>
  <c r="AU53" i="26"/>
  <c r="E52" i="26"/>
  <c r="G52" i="26"/>
  <c r="H52" i="26"/>
  <c r="J52" i="26"/>
  <c r="K52" i="26"/>
  <c r="M52" i="26"/>
  <c r="M65" i="26" s="1"/>
  <c r="N52" i="26"/>
  <c r="P52" i="26"/>
  <c r="P65" i="26" s="1"/>
  <c r="Q52" i="26"/>
  <c r="Q65" i="26" s="1"/>
  <c r="S52" i="26"/>
  <c r="S65" i="26" s="1"/>
  <c r="T52" i="26"/>
  <c r="T65" i="26" s="1"/>
  <c r="V52" i="26"/>
  <c r="V65" i="26" s="1"/>
  <c r="W52" i="26"/>
  <c r="W65" i="26" s="1"/>
  <c r="Y52" i="26"/>
  <c r="Y65" i="26" s="1"/>
  <c r="Z52" i="26"/>
  <c r="Z65" i="26" s="1"/>
  <c r="AB52" i="26"/>
  <c r="AC52" i="26"/>
  <c r="AE52" i="26"/>
  <c r="AE65" i="26" s="1"/>
  <c r="AF52" i="26"/>
  <c r="AF65" i="26" s="1"/>
  <c r="AH52" i="26"/>
  <c r="AH65" i="26" s="1"/>
  <c r="AI52" i="26"/>
  <c r="AI65" i="26" s="1"/>
  <c r="AK52" i="26"/>
  <c r="AK65" i="26" s="1"/>
  <c r="AL52" i="26"/>
  <c r="AL65" i="26" s="1"/>
  <c r="AN52" i="26"/>
  <c r="AN65" i="26" s="1"/>
  <c r="AO52" i="26"/>
  <c r="AO65" i="26" s="1"/>
  <c r="D52" i="26"/>
  <c r="D53" i="26"/>
  <c r="AU52" i="26" l="1"/>
  <c r="AE60" i="26" l="1"/>
  <c r="AH60" i="26"/>
  <c r="AI60" i="26"/>
  <c r="AK60" i="26"/>
  <c r="AL60" i="26"/>
  <c r="AN60" i="26"/>
  <c r="AO60" i="26"/>
  <c r="AT60" i="26"/>
  <c r="AX55" i="26" l="1"/>
  <c r="AX66" i="26" s="1"/>
  <c r="D8" i="36" l="1"/>
  <c r="R38" i="22"/>
  <c r="R42" i="22" s="1"/>
  <c r="H33" i="22"/>
  <c r="I33" i="22"/>
  <c r="K33" i="22"/>
  <c r="L33" i="22"/>
  <c r="N33" i="22"/>
  <c r="O33" i="22"/>
  <c r="Q33" i="22"/>
  <c r="R33" i="22"/>
  <c r="T33" i="22"/>
  <c r="U33" i="22"/>
  <c r="W33" i="22"/>
  <c r="X33" i="22"/>
  <c r="AC33" i="22"/>
  <c r="AD33" i="22"/>
  <c r="AF33" i="22"/>
  <c r="AG33" i="22"/>
  <c r="M13" i="29"/>
  <c r="N13" i="29"/>
  <c r="P13" i="29"/>
  <c r="Q13" i="29"/>
  <c r="S13" i="29"/>
  <c r="V13" i="29"/>
  <c r="W13" i="29"/>
  <c r="Y13" i="29"/>
  <c r="Z13" i="29"/>
  <c r="AB13" i="29"/>
  <c r="AC13" i="29"/>
  <c r="H43" i="22"/>
  <c r="I43" i="22"/>
  <c r="K43" i="22"/>
  <c r="L43" i="22"/>
  <c r="N43" i="22"/>
  <c r="O43" i="22"/>
  <c r="Q43" i="22"/>
  <c r="R43" i="22"/>
  <c r="T43" i="22"/>
  <c r="U43" i="22"/>
  <c r="W43" i="22"/>
  <c r="X43" i="22"/>
  <c r="AC43" i="22"/>
  <c r="AD43" i="22"/>
  <c r="AF43" i="22"/>
  <c r="AG43" i="22"/>
  <c r="AJ43" i="22"/>
  <c r="AL43" i="22"/>
  <c r="AM43" i="22"/>
  <c r="H36" i="22"/>
  <c r="I36" i="22"/>
  <c r="K36" i="22"/>
  <c r="L36" i="22"/>
  <c r="N36" i="22"/>
  <c r="O36" i="22"/>
  <c r="Q36" i="22"/>
  <c r="T36" i="22"/>
  <c r="U36" i="22"/>
  <c r="X36" i="22"/>
  <c r="AC36" i="22"/>
  <c r="AD36" i="22"/>
  <c r="AB7" i="25"/>
  <c r="AB9" i="25"/>
  <c r="AB11" i="25"/>
  <c r="AB12" i="25"/>
  <c r="AC7" i="25"/>
  <c r="AC9" i="25"/>
  <c r="AC11" i="25"/>
  <c r="AC12" i="25"/>
  <c r="AJ34" i="22"/>
  <c r="AJ33" i="22" s="1"/>
  <c r="F34" i="22"/>
  <c r="G14" i="25"/>
  <c r="H14" i="25"/>
  <c r="J14" i="25"/>
  <c r="K14" i="25"/>
  <c r="M14" i="25"/>
  <c r="N14" i="25"/>
  <c r="P14" i="25"/>
  <c r="Q14" i="25"/>
  <c r="S14" i="25"/>
  <c r="T14" i="25"/>
  <c r="Y14" i="25"/>
  <c r="AI34" i="22" s="1"/>
  <c r="AI33" i="22" s="1"/>
  <c r="Z14" i="25"/>
  <c r="D14" i="25"/>
  <c r="E34" i="22" s="1"/>
  <c r="I10" i="51"/>
  <c r="I11" i="51"/>
  <c r="I12" i="51"/>
  <c r="I13" i="51"/>
  <c r="C14" i="51"/>
  <c r="E14" i="51"/>
  <c r="F14" i="51"/>
  <c r="G14" i="51"/>
  <c r="H14" i="51"/>
  <c r="R36" i="22" l="1"/>
  <c r="T44" i="22"/>
  <c r="C23" i="36" s="1"/>
  <c r="N44" i="22"/>
  <c r="C21" i="36" s="1"/>
  <c r="AC44" i="22"/>
  <c r="I14" i="51"/>
  <c r="O44" i="22"/>
  <c r="D21" i="36" s="1"/>
  <c r="U44" i="22"/>
  <c r="Q44" i="22"/>
  <c r="C18" i="36" s="1"/>
  <c r="C29" i="40"/>
  <c r="D27" i="40"/>
  <c r="D12" i="40"/>
  <c r="C12" i="40"/>
  <c r="D22" i="36" l="1"/>
  <c r="D23" i="36" s="1"/>
  <c r="D20" i="36"/>
  <c r="D33" i="40"/>
  <c r="D36" i="40" s="1"/>
  <c r="C33" i="40"/>
  <c r="C36" i="40" s="1"/>
  <c r="C8" i="36" l="1"/>
  <c r="C37" i="36"/>
  <c r="G16" i="28" l="1"/>
  <c r="M16" i="28"/>
  <c r="N16" i="28"/>
  <c r="P16" i="28"/>
  <c r="Q16" i="28"/>
  <c r="S16" i="28"/>
  <c r="T16" i="28"/>
  <c r="AC62" i="26" s="1"/>
  <c r="V16" i="28"/>
  <c r="W16" i="28"/>
  <c r="AF62" i="26" s="1"/>
  <c r="AF60" i="26" s="1"/>
  <c r="Y16" i="28"/>
  <c r="Z16" i="28"/>
  <c r="AB16" i="28"/>
  <c r="AC16" i="28"/>
  <c r="AF16" i="28"/>
  <c r="M12" i="29"/>
  <c r="N12" i="29"/>
  <c r="P12" i="29"/>
  <c r="Q12" i="29"/>
  <c r="S12" i="29"/>
  <c r="V12" i="29"/>
  <c r="W12" i="29"/>
  <c r="Y12" i="29"/>
  <c r="Z12" i="29"/>
  <c r="AB12" i="29"/>
  <c r="AC12" i="29"/>
  <c r="N58" i="26"/>
  <c r="N65" i="26" s="1"/>
  <c r="T13" i="29"/>
  <c r="AR59" i="26"/>
  <c r="AX59" i="26" s="1"/>
  <c r="AC58" i="26" l="1"/>
  <c r="AH6" i="29"/>
  <c r="T12" i="29"/>
  <c r="M43" i="26"/>
  <c r="P43" i="26"/>
  <c r="S43" i="26"/>
  <c r="V43" i="26"/>
  <c r="W43" i="26"/>
  <c r="Y43" i="26"/>
  <c r="Z43" i="26"/>
  <c r="AK43" i="26"/>
  <c r="AN43" i="26"/>
  <c r="AQ7" i="26"/>
  <c r="AW7" i="26" s="1"/>
  <c r="AX13" i="26"/>
  <c r="AR33" i="26"/>
  <c r="AX33" i="26" s="1"/>
  <c r="AR36" i="26"/>
  <c r="AX36" i="26" s="1"/>
  <c r="AR38" i="26"/>
  <c r="AX38" i="26" s="1"/>
  <c r="AR39" i="26"/>
  <c r="AX39" i="26" s="1"/>
  <c r="AR41" i="26"/>
  <c r="AX41" i="26" s="1"/>
  <c r="AR42" i="26"/>
  <c r="AX42" i="26" s="1"/>
  <c r="AQ11" i="26"/>
  <c r="AQ12" i="26"/>
  <c r="AW12" i="26" s="1"/>
  <c r="AQ13" i="26"/>
  <c r="AW13" i="26" s="1"/>
  <c r="AQ14" i="26"/>
  <c r="AW14" i="26" s="1"/>
  <c r="AQ18" i="26"/>
  <c r="AW18" i="26" s="1"/>
  <c r="AQ19" i="26"/>
  <c r="AW19" i="26" s="1"/>
  <c r="AQ21" i="26"/>
  <c r="AW21" i="26" s="1"/>
  <c r="AQ25" i="26"/>
  <c r="AW25" i="26" s="1"/>
  <c r="AQ26" i="26"/>
  <c r="AW26" i="26" s="1"/>
  <c r="AQ28" i="26"/>
  <c r="AW28" i="26" s="1"/>
  <c r="AQ29" i="26"/>
  <c r="AW29" i="26" s="1"/>
  <c r="AR37" i="26"/>
  <c r="AX37" i="26" s="1"/>
  <c r="AR34" i="26"/>
  <c r="AX34" i="26" s="1"/>
  <c r="AX28" i="26"/>
  <c r="AX25" i="26"/>
  <c r="AX19" i="26"/>
  <c r="AX18" i="26"/>
  <c r="AR31" i="26"/>
  <c r="AX31" i="26" s="1"/>
  <c r="AX21" i="26"/>
  <c r="AX14" i="26"/>
  <c r="AX7" i="26" l="1"/>
  <c r="AR32" i="26"/>
  <c r="AX32" i="26" s="1"/>
  <c r="AR35" i="26"/>
  <c r="AX35" i="26" s="1"/>
  <c r="AX11" i="26"/>
  <c r="N43" i="26"/>
  <c r="Q43" i="26"/>
  <c r="AU43" i="26"/>
  <c r="AX26" i="26"/>
  <c r="AR40" i="26"/>
  <c r="AX40" i="26" s="1"/>
  <c r="AX10" i="26"/>
  <c r="T43" i="26"/>
  <c r="AO43" i="26"/>
  <c r="AO63" i="26" s="1"/>
  <c r="G43" i="26"/>
  <c r="AX12" i="26"/>
  <c r="AL43" i="26"/>
  <c r="AX29" i="26"/>
  <c r="R24" i="22"/>
  <c r="D8" i="23"/>
  <c r="I29" i="22"/>
  <c r="K29" i="22"/>
  <c r="L29" i="22"/>
  <c r="N29" i="22"/>
  <c r="N39" i="22" s="1"/>
  <c r="O29" i="22"/>
  <c r="Q29" i="22"/>
  <c r="R29" i="22"/>
  <c r="T29" i="22"/>
  <c r="T39" i="22" s="1"/>
  <c r="U29" i="22"/>
  <c r="W29" i="22"/>
  <c r="X29" i="22"/>
  <c r="AC29" i="22"/>
  <c r="AC39" i="22" s="1"/>
  <c r="AD29" i="22"/>
  <c r="AF29" i="22"/>
  <c r="AG29" i="22"/>
  <c r="AM31" i="22"/>
  <c r="AL31" i="22"/>
  <c r="AM30" i="22"/>
  <c r="AL30" i="22"/>
  <c r="AI29" i="22"/>
  <c r="AN67" i="26"/>
  <c r="AN68" i="26" s="1"/>
  <c r="AO67" i="26"/>
  <c r="AN63" i="26"/>
  <c r="AH13" i="28"/>
  <c r="G15" i="28"/>
  <c r="M15" i="28"/>
  <c r="N15" i="28"/>
  <c r="P15" i="28"/>
  <c r="Q15" i="28"/>
  <c r="S15" i="28"/>
  <c r="T15" i="28"/>
  <c r="AC61" i="26" s="1"/>
  <c r="V15" i="28"/>
  <c r="W15" i="28"/>
  <c r="Y15" i="28"/>
  <c r="Z15" i="28"/>
  <c r="AB15" i="28"/>
  <c r="AC15" i="28"/>
  <c r="AF15" i="28"/>
  <c r="AG15" i="28"/>
  <c r="G14" i="28"/>
  <c r="M14" i="28"/>
  <c r="N14" i="28"/>
  <c r="P14" i="28"/>
  <c r="Q14" i="28"/>
  <c r="S14" i="28"/>
  <c r="T14" i="28"/>
  <c r="V14" i="28"/>
  <c r="W14" i="28"/>
  <c r="Y14" i="28"/>
  <c r="Z14" i="28"/>
  <c r="AB14" i="28"/>
  <c r="AC14" i="28"/>
  <c r="AF14" i="28"/>
  <c r="D16" i="28"/>
  <c r="D15" i="28"/>
  <c r="D14" i="28"/>
  <c r="G13" i="27"/>
  <c r="J13" i="27"/>
  <c r="M13" i="27"/>
  <c r="N13" i="27"/>
  <c r="P13" i="27"/>
  <c r="Q13" i="27"/>
  <c r="S13" i="27"/>
  <c r="AB55" i="26" s="1"/>
  <c r="T13" i="27"/>
  <c r="V13" i="27"/>
  <c r="W13" i="27"/>
  <c r="Y13" i="27"/>
  <c r="Z13" i="27"/>
  <c r="AB13" i="27"/>
  <c r="AC13" i="27"/>
  <c r="D13" i="27"/>
  <c r="G11" i="27"/>
  <c r="J11" i="27"/>
  <c r="M11" i="27"/>
  <c r="N11" i="27"/>
  <c r="P11" i="27"/>
  <c r="Q11" i="27"/>
  <c r="S11" i="27"/>
  <c r="C17" i="38" s="1"/>
  <c r="C29" i="38" s="1"/>
  <c r="T11" i="27"/>
  <c r="V11" i="27"/>
  <c r="W11" i="27"/>
  <c r="Y11" i="27"/>
  <c r="Z11" i="27"/>
  <c r="AB11" i="27"/>
  <c r="AC11" i="27"/>
  <c r="D11" i="27"/>
  <c r="H11" i="27"/>
  <c r="AE13" i="27"/>
  <c r="K13" i="27"/>
  <c r="AJ30" i="22"/>
  <c r="G18" i="24"/>
  <c r="H18" i="24"/>
  <c r="J18" i="24"/>
  <c r="K18" i="24"/>
  <c r="AF38" i="22"/>
  <c r="C12" i="39"/>
  <c r="AI38" i="22"/>
  <c r="AI42" i="22" s="1"/>
  <c r="AG17" i="24"/>
  <c r="AG20" i="24" s="1"/>
  <c r="AG14" i="24"/>
  <c r="AG16" i="24"/>
  <c r="AG15" i="24"/>
  <c r="AG38" i="22"/>
  <c r="AJ38" i="22"/>
  <c r="AJ42" i="22" s="1"/>
  <c r="E19" i="24"/>
  <c r="F37" i="22" s="1"/>
  <c r="AL37" i="22"/>
  <c r="AI37" i="22"/>
  <c r="AI41" i="22" s="1"/>
  <c r="D19" i="24"/>
  <c r="AG42" i="22" l="1"/>
  <c r="AG44" i="22" s="1"/>
  <c r="AG36" i="22"/>
  <c r="AG39" i="22"/>
  <c r="R25" i="22"/>
  <c r="AP25" i="22" s="1"/>
  <c r="AP24" i="22"/>
  <c r="AM38" i="22"/>
  <c r="AM42" i="22" s="1"/>
  <c r="AB66" i="26"/>
  <c r="AF42" i="22"/>
  <c r="AF44" i="22" s="1"/>
  <c r="C32" i="36" s="1"/>
  <c r="AF36" i="22"/>
  <c r="AF39" i="22" s="1"/>
  <c r="AL38" i="22"/>
  <c r="AL42" i="22" s="1"/>
  <c r="E37" i="22"/>
  <c r="I44" i="22"/>
  <c r="AD44" i="22"/>
  <c r="D29" i="38"/>
  <c r="O39" i="22"/>
  <c r="K56" i="26"/>
  <c r="AC56" i="26"/>
  <c r="AC65" i="26" s="1"/>
  <c r="H15" i="28"/>
  <c r="H61" i="26" s="1"/>
  <c r="AO68" i="26"/>
  <c r="U39" i="22"/>
  <c r="H14" i="28"/>
  <c r="E15" i="28"/>
  <c r="E61" i="26" s="1"/>
  <c r="AJ37" i="22"/>
  <c r="AJ36" i="22" s="1"/>
  <c r="AG8" i="24"/>
  <c r="E14" i="28"/>
  <c r="AD39" i="22"/>
  <c r="E16" i="28"/>
  <c r="E62" i="26" s="1"/>
  <c r="H16" i="28"/>
  <c r="H62" i="26" s="1"/>
  <c r="AM29" i="22"/>
  <c r="I39" i="22"/>
  <c r="AI36" i="22"/>
  <c r="Q39" i="22"/>
  <c r="AL29" i="22"/>
  <c r="AJ29" i="22"/>
  <c r="K11" i="27"/>
  <c r="E11" i="27"/>
  <c r="AF11" i="27" s="1"/>
  <c r="H13" i="27"/>
  <c r="E13" i="27"/>
  <c r="AF13" i="27" s="1"/>
  <c r="AG18" i="24" l="1"/>
  <c r="AG19" i="24"/>
  <c r="D63" i="36"/>
  <c r="D64" i="36"/>
  <c r="R39" i="22"/>
  <c r="D32" i="36"/>
  <c r="AO37" i="22"/>
  <c r="AL36" i="22"/>
  <c r="R44" i="22"/>
  <c r="D18" i="36" s="1"/>
  <c r="D16" i="36" s="1"/>
  <c r="H56" i="26"/>
  <c r="E56" i="26"/>
  <c r="AM37" i="22"/>
  <c r="AM36" i="22" s="1"/>
  <c r="AI39" i="22"/>
  <c r="C36" i="36" s="1"/>
  <c r="AO7" i="22"/>
  <c r="AO26" i="22" s="1"/>
  <c r="W44" i="22"/>
  <c r="C31" i="36" s="1"/>
  <c r="W39" i="22"/>
  <c r="K44" i="22"/>
  <c r="C16" i="36" s="1"/>
  <c r="K39" i="22"/>
  <c r="AI44" i="22" l="1"/>
  <c r="C20" i="36"/>
  <c r="C42" i="36"/>
  <c r="X44" i="22"/>
  <c r="AR56" i="26"/>
  <c r="L44" i="22"/>
  <c r="AJ41" i="22"/>
  <c r="AJ44" i="22" s="1"/>
  <c r="AJ39" i="22"/>
  <c r="D36" i="36" s="1"/>
  <c r="D42" i="36" s="1"/>
  <c r="X39" i="22"/>
  <c r="Y13" i="25"/>
  <c r="Z13" i="25"/>
  <c r="D13" i="25"/>
  <c r="E13" i="25"/>
  <c r="G13" i="25"/>
  <c r="H13" i="25"/>
  <c r="J13" i="25"/>
  <c r="K13" i="25"/>
  <c r="M13" i="25"/>
  <c r="N13" i="25"/>
  <c r="P13" i="25"/>
  <c r="Q13" i="25"/>
  <c r="S13" i="25"/>
  <c r="T13" i="25"/>
  <c r="V13" i="25"/>
  <c r="AO28" i="22" l="1"/>
  <c r="AX56" i="26"/>
  <c r="L39" i="22"/>
  <c r="AR54" i="26"/>
  <c r="AX54" i="26" s="1"/>
  <c r="AB13" i="25"/>
  <c r="AL34" i="22"/>
  <c r="AL33" i="22" s="1"/>
  <c r="V14" i="25"/>
  <c r="AB14" i="25" s="1"/>
  <c r="AB6" i="25"/>
  <c r="D31" i="36"/>
  <c r="AC6" i="25" l="1"/>
  <c r="W14" i="25"/>
  <c r="AU58" i="26" s="1"/>
  <c r="W13" i="25"/>
  <c r="G13" i="29"/>
  <c r="G12" i="29"/>
  <c r="D13" i="29"/>
  <c r="D12" i="29"/>
  <c r="AL39" i="22"/>
  <c r="AO34" i="22"/>
  <c r="AL41" i="22"/>
  <c r="AL44" i="22" s="1"/>
  <c r="AT11" i="26" s="1"/>
  <c r="AW11" i="26" s="1"/>
  <c r="AT52" i="26" l="1"/>
  <c r="AT65" i="26" s="1"/>
  <c r="AT43" i="26"/>
  <c r="AC13" i="25"/>
  <c r="E13" i="29"/>
  <c r="E12" i="29"/>
  <c r="H12" i="29"/>
  <c r="H13" i="29"/>
  <c r="AM34" i="22"/>
  <c r="AC14" i="25"/>
  <c r="AM33" i="22" l="1"/>
  <c r="AM39" i="22" s="1"/>
  <c r="AM41" i="22"/>
  <c r="AM44" i="22" s="1"/>
  <c r="D20" i="24"/>
  <c r="AQ10" i="26"/>
  <c r="AW10" i="26" s="1"/>
  <c r="E38" i="22" l="1"/>
  <c r="E20" i="24"/>
  <c r="E18" i="24"/>
  <c r="AB43" i="26"/>
  <c r="D55" i="36"/>
  <c r="H43" i="26"/>
  <c r="AH43" i="26"/>
  <c r="AQ8" i="26"/>
  <c r="AW8" i="26" s="1"/>
  <c r="J43" i="26"/>
  <c r="AE43" i="26"/>
  <c r="AQ23" i="26"/>
  <c r="AW23" i="26" s="1"/>
  <c r="AQ9" i="26"/>
  <c r="AW9" i="26" s="1"/>
  <c r="AQ16" i="26"/>
  <c r="AW16" i="26" s="1"/>
  <c r="AQ22" i="26"/>
  <c r="AW22" i="26" s="1"/>
  <c r="AX22" i="26"/>
  <c r="AQ27" i="26"/>
  <c r="AW27" i="26" s="1"/>
  <c r="AX17" i="26"/>
  <c r="AQ17" i="26"/>
  <c r="AW17" i="26" s="1"/>
  <c r="AQ15" i="26"/>
  <c r="AQ20" i="26"/>
  <c r="AW20" i="26" s="1"/>
  <c r="AE9" i="27"/>
  <c r="AE10" i="27"/>
  <c r="AQ53" i="26" l="1"/>
  <c r="AW15" i="26"/>
  <c r="AQ43" i="26"/>
  <c r="AW43" i="26" s="1"/>
  <c r="E36" i="22"/>
  <c r="AO38" i="22"/>
  <c r="AQ52" i="26"/>
  <c r="AX23" i="26"/>
  <c r="E43" i="26"/>
  <c r="AF43" i="26"/>
  <c r="AE11" i="27"/>
  <c r="AW53" i="26"/>
  <c r="F38" i="22"/>
  <c r="AX9" i="26"/>
  <c r="AI43" i="26"/>
  <c r="AX16" i="26"/>
  <c r="AC43" i="26"/>
  <c r="AX20" i="26"/>
  <c r="AX27" i="26"/>
  <c r="F36" i="22" l="1"/>
  <c r="AP38" i="22"/>
  <c r="AR53" i="26"/>
  <c r="AX24" i="26"/>
  <c r="AR52" i="26"/>
  <c r="AX15" i="26"/>
  <c r="AX53" i="26" s="1"/>
  <c r="J13" i="29"/>
  <c r="J12" i="29"/>
  <c r="AX8" i="26"/>
  <c r="AR43" i="26"/>
  <c r="AX43" i="26" l="1"/>
  <c r="AX52" i="26"/>
  <c r="K13" i="29"/>
  <c r="AH13" i="29" s="1"/>
  <c r="K12" i="29"/>
  <c r="AH12" i="29" s="1"/>
  <c r="J16" i="28"/>
  <c r="AE16" i="28" s="1"/>
  <c r="J14" i="28"/>
  <c r="AE14" i="28" s="1"/>
  <c r="AE13" i="29"/>
  <c r="J15" i="28"/>
  <c r="AE15" i="28" s="1"/>
  <c r="K15" i="28" l="1"/>
  <c r="K16" i="28"/>
  <c r="K62" i="26" s="1"/>
  <c r="AR62" i="26" s="1"/>
  <c r="K14" i="28"/>
  <c r="AH14" i="28" s="1"/>
  <c r="AH7" i="28"/>
  <c r="AH16" i="28" s="1"/>
  <c r="AQ59" i="26"/>
  <c r="J55" i="26"/>
  <c r="J66" i="26" s="1"/>
  <c r="G55" i="26"/>
  <c r="G66" i="26" s="1"/>
  <c r="D55" i="26"/>
  <c r="J56" i="26"/>
  <c r="D56" i="26"/>
  <c r="AQ56" i="26" l="1"/>
  <c r="AW59" i="26"/>
  <c r="D66" i="26"/>
  <c r="AQ55" i="26"/>
  <c r="AQ66" i="26" s="1"/>
  <c r="AR67" i="26"/>
  <c r="AX62" i="26"/>
  <c r="AX67" i="26" s="1"/>
  <c r="K61" i="26"/>
  <c r="AH15" i="28"/>
  <c r="D54" i="26"/>
  <c r="D50" i="26"/>
  <c r="AR61" i="26" l="1"/>
  <c r="AR60" i="26" s="1"/>
  <c r="AW56" i="26"/>
  <c r="AX61" i="26" l="1"/>
  <c r="AU66" i="26"/>
  <c r="AE7" i="23" l="1"/>
  <c r="AE9" i="23" s="1"/>
  <c r="E15" i="25" l="1"/>
  <c r="G15" i="25"/>
  <c r="H15" i="25"/>
  <c r="J15" i="25"/>
  <c r="K15" i="25"/>
  <c r="M15" i="25"/>
  <c r="N15" i="25"/>
  <c r="P15" i="25"/>
  <c r="Q15" i="25"/>
  <c r="S15" i="25"/>
  <c r="T15" i="25"/>
  <c r="V15" i="25"/>
  <c r="W15" i="25"/>
  <c r="D15" i="25"/>
  <c r="AE14" i="29"/>
  <c r="AF14" i="29"/>
  <c r="AG14" i="29"/>
  <c r="E14" i="29"/>
  <c r="G14" i="29"/>
  <c r="H14" i="29"/>
  <c r="J14" i="29"/>
  <c r="K14" i="29"/>
  <c r="M14" i="29"/>
  <c r="N14" i="29"/>
  <c r="P14" i="29"/>
  <c r="Q14" i="29"/>
  <c r="S14" i="29"/>
  <c r="T14" i="29"/>
  <c r="V14" i="29"/>
  <c r="W14" i="29"/>
  <c r="Y14" i="29"/>
  <c r="Z14" i="29"/>
  <c r="AB14" i="29"/>
  <c r="AC14" i="29"/>
  <c r="D14" i="29"/>
  <c r="E58" i="26"/>
  <c r="G58" i="26"/>
  <c r="H58" i="26"/>
  <c r="H65" i="26" s="1"/>
  <c r="J58" i="26"/>
  <c r="K58" i="26"/>
  <c r="K65" i="26" s="1"/>
  <c r="AB58" i="26"/>
  <c r="D58" i="26"/>
  <c r="AH14" i="29" l="1"/>
  <c r="E65" i="26"/>
  <c r="AR58" i="26"/>
  <c r="AB15" i="25"/>
  <c r="E35" i="22"/>
  <c r="E42" i="22" s="1"/>
  <c r="F35" i="22"/>
  <c r="F42" i="22" s="1"/>
  <c r="AC15" i="25"/>
  <c r="AQ58" i="26"/>
  <c r="AW58" i="26" l="1"/>
  <c r="AX58" i="26"/>
  <c r="AX65" i="26" s="1"/>
  <c r="AR65" i="26"/>
  <c r="AR68" i="26" s="1"/>
  <c r="F33" i="22"/>
  <c r="E33" i="22"/>
  <c r="AW52" i="26"/>
  <c r="AP27" i="22"/>
  <c r="AP43" i="22" s="1"/>
  <c r="E50" i="26" l="1"/>
  <c r="AP35" i="22" l="1"/>
  <c r="AP34" i="22"/>
  <c r="AO27" i="22"/>
  <c r="AP33" i="22" l="1"/>
  <c r="AO31" i="22"/>
  <c r="AO35" i="22" l="1"/>
  <c r="AO33" i="22" s="1"/>
  <c r="AO42" i="22" l="1"/>
  <c r="AL67" i="26"/>
  <c r="AF67" i="26"/>
  <c r="AC67" i="26"/>
  <c r="Z67" i="26"/>
  <c r="W67" i="26"/>
  <c r="T67" i="26"/>
  <c r="Q67" i="26"/>
  <c r="N67" i="26"/>
  <c r="K67" i="26"/>
  <c r="H67" i="26"/>
  <c r="E67" i="26"/>
  <c r="W60" i="26"/>
  <c r="T60" i="26"/>
  <c r="Q60" i="26"/>
  <c r="N60" i="26"/>
  <c r="P57" i="26"/>
  <c r="Q57" i="26"/>
  <c r="S57" i="26"/>
  <c r="T57" i="26"/>
  <c r="V57" i="26"/>
  <c r="W57" i="26"/>
  <c r="Y57" i="26"/>
  <c r="Y63" i="26" s="1"/>
  <c r="Z57" i="26"/>
  <c r="Z63" i="26" s="1"/>
  <c r="AC57" i="26"/>
  <c r="AE57" i="26"/>
  <c r="AF57" i="26"/>
  <c r="AF63" i="26" s="1"/>
  <c r="AH57" i="26"/>
  <c r="AI57" i="26"/>
  <c r="AI63" i="26" s="1"/>
  <c r="AK57" i="26"/>
  <c r="AL57" i="26"/>
  <c r="AL63" i="26" s="1"/>
  <c r="N57" i="26"/>
  <c r="K57" i="26"/>
  <c r="H57" i="26"/>
  <c r="E57" i="26"/>
  <c r="AC54" i="26"/>
  <c r="W54" i="26"/>
  <c r="T54" i="26"/>
  <c r="N54" i="26"/>
  <c r="AR57" i="26" l="1"/>
  <c r="AX57" i="26" s="1"/>
  <c r="AL68" i="26"/>
  <c r="D68" i="36" s="1"/>
  <c r="N63" i="26"/>
  <c r="W63" i="26"/>
  <c r="T63" i="26"/>
  <c r="N68" i="26"/>
  <c r="D53" i="36" s="1"/>
  <c r="AF68" i="26"/>
  <c r="D61" i="36" s="1"/>
  <c r="T68" i="26"/>
  <c r="W68" i="26"/>
  <c r="Z68" i="26"/>
  <c r="E60" i="26"/>
  <c r="AF11" i="24"/>
  <c r="AF18" i="24" l="1"/>
  <c r="AF20" i="24"/>
  <c r="D67" i="36"/>
  <c r="D72" i="36" s="1"/>
  <c r="D78" i="36" s="1"/>
  <c r="K60" i="26"/>
  <c r="H60" i="26"/>
  <c r="AC60" i="26"/>
  <c r="AC63" i="26" l="1"/>
  <c r="AU62" i="26"/>
  <c r="AU67" i="26" s="1"/>
  <c r="Q63" i="26"/>
  <c r="AR63" i="26" l="1"/>
  <c r="AX60" i="26"/>
  <c r="AX63" i="26" s="1"/>
  <c r="AU60" i="26"/>
  <c r="AP37" i="22"/>
  <c r="H54" i="26"/>
  <c r="H63" i="26" s="1"/>
  <c r="K54" i="26"/>
  <c r="K63" i="26" s="1"/>
  <c r="K68" i="26"/>
  <c r="D52" i="36" s="1"/>
  <c r="E54" i="26"/>
  <c r="E63" i="26" s="1"/>
  <c r="AE6" i="23"/>
  <c r="AE10" i="23" s="1"/>
  <c r="AC6" i="23"/>
  <c r="AC10" i="23" s="1"/>
  <c r="AD6" i="23"/>
  <c r="AD10" i="23" s="1"/>
  <c r="Y8" i="23"/>
  <c r="Z8" i="23"/>
  <c r="W8" i="23"/>
  <c r="AU54" i="26"/>
  <c r="D10" i="39" s="1"/>
  <c r="T8" i="23"/>
  <c r="Q8" i="23"/>
  <c r="N8" i="23"/>
  <c r="K8" i="23"/>
  <c r="H8" i="23"/>
  <c r="E8" i="23"/>
  <c r="E9" i="23"/>
  <c r="F30" i="22" s="1"/>
  <c r="F41" i="22" s="1"/>
  <c r="E10" i="23"/>
  <c r="F32" i="22" s="1"/>
  <c r="AF6" i="29"/>
  <c r="AG6" i="29"/>
  <c r="F43" i="22" l="1"/>
  <c r="F44" i="22" s="1"/>
  <c r="AP44" i="22" s="1"/>
  <c r="AP32" i="22"/>
  <c r="AU65" i="26"/>
  <c r="AU68" i="26" s="1"/>
  <c r="AG13" i="29"/>
  <c r="AG12" i="29"/>
  <c r="AF13" i="29"/>
  <c r="AF12" i="29"/>
  <c r="D12" i="39"/>
  <c r="AP36" i="22"/>
  <c r="F29" i="22"/>
  <c r="F39" i="22" s="1"/>
  <c r="D30" i="36" s="1"/>
  <c r="D34" i="36" s="1"/>
  <c r="D43" i="36" s="1"/>
  <c r="AP30" i="22"/>
  <c r="AP41" i="22" s="1"/>
  <c r="AC68" i="26"/>
  <c r="D59" i="36" s="1"/>
  <c r="Q68" i="26"/>
  <c r="D54" i="36" s="1"/>
  <c r="AP31" i="22"/>
  <c r="AP42" i="22" s="1"/>
  <c r="AE8" i="23"/>
  <c r="AP29" i="22" l="1"/>
  <c r="AP39" i="22" s="1"/>
  <c r="D58" i="36"/>
  <c r="H68" i="26" l="1"/>
  <c r="D51" i="36" s="1"/>
  <c r="E68" i="26"/>
  <c r="D50" i="36" s="1"/>
  <c r="D49" i="36" l="1"/>
  <c r="D66" i="36" s="1"/>
  <c r="D77" i="36" s="1"/>
  <c r="AI67" i="26"/>
  <c r="AI68" i="26" s="1"/>
  <c r="AU57" i="26"/>
  <c r="D11" i="39" l="1"/>
  <c r="D13" i="39" s="1"/>
  <c r="AU63" i="26"/>
  <c r="AX70" i="26" s="1"/>
  <c r="D73" i="36"/>
  <c r="AB57" i="26"/>
  <c r="D10" i="23" l="1"/>
  <c r="E32" i="22" s="1"/>
  <c r="E43" i="22" s="1"/>
  <c r="AO32" i="22" l="1"/>
  <c r="AO43" i="22" s="1"/>
  <c r="Y67" i="26" l="1"/>
  <c r="Y68" i="26" l="1"/>
  <c r="AB62" i="26" l="1"/>
  <c r="G62" i="26"/>
  <c r="G67" i="26" s="1"/>
  <c r="D62" i="26"/>
  <c r="D67" i="26" s="1"/>
  <c r="AB61" i="26"/>
  <c r="AB65" i="26" s="1"/>
  <c r="J61" i="26"/>
  <c r="J65" i="26" s="1"/>
  <c r="G61" i="26"/>
  <c r="G65" i="26" s="1"/>
  <c r="D61" i="26"/>
  <c r="D65" i="26" s="1"/>
  <c r="AG7" i="28"/>
  <c r="AE7" i="28"/>
  <c r="V60" i="26"/>
  <c r="S60" i="26"/>
  <c r="P60" i="26"/>
  <c r="M60" i="26"/>
  <c r="AT57" i="26"/>
  <c r="M57" i="26"/>
  <c r="J57" i="26"/>
  <c r="G57" i="26"/>
  <c r="D57" i="26"/>
  <c r="AT54" i="26"/>
  <c r="AK54" i="26"/>
  <c r="AH54" i="26"/>
  <c r="AE54" i="26"/>
  <c r="V54" i="26"/>
  <c r="S54" i="26"/>
  <c r="P54" i="26"/>
  <c r="M54" i="26"/>
  <c r="J54" i="26"/>
  <c r="G54" i="26"/>
  <c r="AT67" i="26"/>
  <c r="AE67" i="26"/>
  <c r="V67" i="26"/>
  <c r="S67" i="26"/>
  <c r="M67" i="26"/>
  <c r="P67" i="26"/>
  <c r="AH67" i="26"/>
  <c r="H30" i="22"/>
  <c r="H41" i="22" s="1"/>
  <c r="D9" i="23"/>
  <c r="E30" i="22" s="1"/>
  <c r="S8" i="23"/>
  <c r="P8" i="23"/>
  <c r="M8" i="23"/>
  <c r="J8" i="23"/>
  <c r="G8" i="23"/>
  <c r="AD7" i="23"/>
  <c r="AD9" i="23" s="1"/>
  <c r="E41" i="22" l="1"/>
  <c r="E44" i="22" s="1"/>
  <c r="S63" i="26"/>
  <c r="AK63" i="26"/>
  <c r="AB54" i="26"/>
  <c r="H44" i="22"/>
  <c r="H29" i="22"/>
  <c r="H39" i="22" s="1"/>
  <c r="AG16" i="28"/>
  <c r="AG14" i="28"/>
  <c r="AQ57" i="26"/>
  <c r="AW57" i="26" s="1"/>
  <c r="E29" i="22"/>
  <c r="E39" i="22" s="1"/>
  <c r="AO30" i="22"/>
  <c r="AO29" i="22" s="1"/>
  <c r="P63" i="26"/>
  <c r="AH63" i="26"/>
  <c r="V63" i="26"/>
  <c r="AT63" i="26"/>
  <c r="AB60" i="26"/>
  <c r="M63" i="26"/>
  <c r="AE63" i="26"/>
  <c r="P68" i="26"/>
  <c r="AK67" i="26"/>
  <c r="AK68" i="26" s="1"/>
  <c r="C68" i="36" s="1"/>
  <c r="AB67" i="26"/>
  <c r="D60" i="26"/>
  <c r="D63" i="26" s="1"/>
  <c r="G60" i="26"/>
  <c r="G63" i="26" s="1"/>
  <c r="AQ61" i="26"/>
  <c r="AO36" i="22"/>
  <c r="AT68" i="26"/>
  <c r="V68" i="26"/>
  <c r="J62" i="26"/>
  <c r="J60" i="26" s="1"/>
  <c r="J63" i="26" s="1"/>
  <c r="V8" i="23"/>
  <c r="C10" i="39" s="1"/>
  <c r="C13" i="39" s="1"/>
  <c r="C30" i="36" l="1"/>
  <c r="C67" i="36"/>
  <c r="AW61" i="26"/>
  <c r="AW65" i="26" s="1"/>
  <c r="AQ65" i="26"/>
  <c r="AO41" i="22"/>
  <c r="AE68" i="26"/>
  <c r="C61" i="36" s="1"/>
  <c r="AB63" i="26"/>
  <c r="AH68" i="26"/>
  <c r="C55" i="36" s="1"/>
  <c r="S68" i="26"/>
  <c r="C54" i="36" s="1"/>
  <c r="M68" i="26"/>
  <c r="C53" i="36" s="1"/>
  <c r="J67" i="26"/>
  <c r="D68" i="26"/>
  <c r="C50" i="36" s="1"/>
  <c r="AB68" i="26"/>
  <c r="G68" i="26"/>
  <c r="C51" i="36" s="1"/>
  <c r="AW55" i="26"/>
  <c r="AW66" i="26" s="1"/>
  <c r="AQ54" i="26"/>
  <c r="AW54" i="26" s="1"/>
  <c r="AQ62" i="26"/>
  <c r="C34" i="36" l="1"/>
  <c r="C43" i="36" s="1"/>
  <c r="C72" i="36"/>
  <c r="C78" i="36" s="1"/>
  <c r="AW62" i="26"/>
  <c r="AW67" i="26" s="1"/>
  <c r="AQ67" i="26"/>
  <c r="AQ68" i="26" s="1"/>
  <c r="AQ60" i="26"/>
  <c r="AW60" i="26" s="1"/>
  <c r="AW63" i="26" s="1"/>
  <c r="C59" i="36"/>
  <c r="C58" i="36" s="1"/>
  <c r="J68" i="26"/>
  <c r="C52" i="36" s="1"/>
  <c r="C49" i="36" s="1"/>
  <c r="AO39" i="22"/>
  <c r="AO44" i="22" s="1"/>
  <c r="C66" i="36" l="1"/>
  <c r="C73" i="36" s="1"/>
  <c r="AQ63" i="26"/>
  <c r="C77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W12" authorId="0" shapeId="0" xr:uid="{3127FED1-73F6-4EA2-9589-5ACCF14313E8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út befizetés</t>
        </r>
      </text>
    </comment>
    <comment ref="W16" authorId="0" shapeId="0" xr:uid="{534ECF34-0885-4273-B449-D953B89963C6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kamatmentes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S11" authorId="0" shapeId="0" xr:uid="{C2C62D11-492C-434B-948D-EDF43603C50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Orosházi kistérség</t>
        </r>
      </text>
    </comment>
    <comment ref="J16" authorId="0" shapeId="0" xr:uid="{E5E21413-85E4-4540-B4C8-08BC9FFFDD2A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Külterületi út fordított áfa</t>
        </r>
      </text>
    </comment>
    <comment ref="AE20" authorId="0" shapeId="0" xr:uid="{BC1E528A-4F00-4C30-A74A-F67D39105A2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Városháza+ Edison klúb</t>
        </r>
      </text>
    </comment>
    <comment ref="AE24" authorId="0" shapeId="0" xr:uid="{B9E0AAC6-02B6-494B-ADBF-BF4AA4C5A3C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jav.+ konyha kialakítása</t>
        </r>
      </text>
    </comment>
    <comment ref="AB35" authorId="0" shapeId="0" xr:uid="{BEE0C13C-E885-4743-A021-695BB1B1C44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Mini-bőlcsi eszközök beszerzése</t>
        </r>
      </text>
    </comment>
  </commentList>
</comments>
</file>

<file path=xl/sharedStrings.xml><?xml version="1.0" encoding="utf-8"?>
<sst xmlns="http://schemas.openxmlformats.org/spreadsheetml/2006/main" count="1165" uniqueCount="427">
  <si>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</si>
  <si>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</si>
  <si>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</si>
  <si>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</si>
  <si>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</si>
  <si>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</si>
  <si>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</si>
  <si>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</si>
  <si>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</si>
  <si>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</si>
  <si>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</si>
  <si>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</si>
  <si>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</si>
  <si>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</si>
  <si>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</si>
  <si>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</si>
  <si>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</si>
  <si>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</si>
  <si>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</si>
  <si>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</si>
  <si>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</si>
  <si>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</si>
  <si>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</si>
  <si>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</si>
  <si>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</si>
  <si>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</si>
  <si>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</si>
  <si>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</si>
  <si>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</si>
  <si>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</si>
  <si>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</si>
  <si>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</si>
  <si>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</si>
  <si>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</si>
  <si>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</si>
  <si>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</si>
  <si>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</si>
  <si>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</si>
  <si>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</si>
  <si>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</si>
  <si>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</si>
  <si>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</si>
  <si>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</si>
  <si>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Egyéb működési célú kiadások</t>
  </si>
  <si>
    <t xml:space="preserve">                 Céltartalék</t>
  </si>
  <si>
    <t>Beruházások</t>
  </si>
  <si>
    <t>Felújítások</t>
  </si>
  <si>
    <t>Egyéb felhalmozási kiadások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</si>
  <si>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</si>
  <si>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</si>
  <si>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</si>
  <si>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</si>
  <si>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</si>
  <si>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</si>
  <si>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</si>
  <si>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</si>
  <si>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</si>
  <si>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</si>
  <si>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</si>
  <si>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</si>
  <si>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</si>
  <si>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</si>
  <si>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</si>
  <si>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</si>
  <si>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</si>
  <si>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</si>
  <si>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</si>
  <si>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</si>
  <si>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</si>
  <si>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</si>
  <si>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</si>
  <si>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</si>
  <si>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</si>
  <si>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</si>
  <si>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</si>
  <si>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</si>
  <si>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</si>
  <si>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</si>
  <si>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</si>
  <si>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</si>
  <si>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</si>
  <si>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</si>
  <si>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</si>
  <si>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</si>
  <si>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</si>
  <si>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</si>
  <si>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</si>
  <si>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</si>
  <si>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</si>
  <si>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</si>
  <si>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</si>
  <si>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</si>
  <si>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</si>
  <si>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</si>
  <si>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</si>
  <si>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</si>
  <si>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</si>
  <si>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</si>
  <si>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</si>
  <si>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</si>
  <si>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</si>
  <si>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</si>
  <si>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</si>
  <si>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</si>
  <si>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</si>
  <si>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</si>
  <si>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</si>
  <si>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</si>
  <si>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</si>
  <si>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</si>
  <si>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</si>
  <si>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</si>
  <si>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</si>
  <si>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</si>
  <si>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</si>
  <si>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</si>
  <si>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</si>
  <si>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</si>
  <si>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</si>
  <si>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</si>
  <si>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</si>
  <si>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</si>
  <si>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</si>
  <si>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</si>
  <si>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</si>
  <si>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</si>
  <si>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</si>
  <si>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</si>
  <si>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</si>
  <si>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</si>
  <si>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</si>
  <si>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</si>
  <si>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</si>
  <si>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</si>
  <si>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</si>
  <si>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</si>
  <si>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</si>
  <si>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</si>
  <si>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</si>
  <si>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</si>
  <si>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</si>
  <si>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</si>
  <si>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</si>
  <si>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</si>
  <si>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</si>
  <si>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</si>
  <si>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</si>
  <si>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</si>
  <si>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</si>
  <si>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</si>
  <si>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</si>
  <si>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</si>
  <si>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</si>
  <si>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</si>
  <si>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</si>
  <si>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</si>
  <si>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</si>
  <si>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</si>
  <si>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</si>
  <si>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</si>
  <si>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</si>
  <si>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</si>
  <si>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</si>
  <si>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</si>
  <si>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</si>
  <si>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</si>
  <si>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</si>
  <si>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</si>
  <si>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</si>
  <si>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</si>
  <si>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</si>
  <si>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</si>
  <si>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</si>
  <si>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</si>
  <si>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</si>
  <si>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</si>
  <si>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</si>
  <si>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</si>
  <si>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</si>
  <si>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</si>
  <si>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</si>
  <si>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</si>
  <si>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</si>
  <si>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</si>
  <si>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</si>
  <si>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</si>
  <si>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</si>
  <si>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</si>
  <si>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</si>
  <si>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</si>
  <si>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</si>
  <si>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</si>
  <si>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</si>
  <si>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</si>
  <si>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</si>
  <si>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</si>
  <si>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</si>
  <si>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</si>
  <si>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</si>
  <si>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</si>
  <si>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</si>
  <si>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</si>
  <si>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</si>
  <si>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</si>
  <si>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</si>
  <si>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</si>
  <si>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</si>
  <si>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</si>
  <si>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</si>
  <si>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</si>
  <si>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</si>
  <si>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</si>
  <si>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</si>
  <si>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</si>
  <si>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</si>
  <si>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</si>
  <si>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</si>
  <si>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</si>
  <si>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</si>
  <si>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</si>
  <si>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</si>
  <si>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</si>
  <si>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</si>
  <si>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</si>
  <si>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</si>
  <si>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</si>
  <si>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</si>
  <si>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</si>
  <si>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</si>
  <si>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</si>
  <si>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</si>
  <si>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</si>
  <si>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</si>
  <si>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</si>
  <si>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</si>
  <si>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</si>
  <si>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</si>
  <si>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</si>
  <si>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</si>
  <si>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</si>
  <si>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</si>
  <si>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</si>
  <si>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</si>
  <si>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</si>
  <si>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</si>
  <si>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</si>
  <si>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</si>
  <si>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</si>
  <si>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</si>
  <si>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</si>
  <si>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</si>
  <si>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</si>
  <si>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</si>
  <si>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</si>
  <si>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</si>
  <si>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</si>
  <si>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</si>
  <si>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</si>
  <si>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</si>
  <si>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</si>
  <si>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</si>
  <si>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</si>
  <si>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</si>
  <si>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</si>
  <si>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</si>
  <si>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</si>
  <si>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</si>
  <si>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</si>
  <si>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</si>
  <si>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</si>
  <si>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</si>
  <si>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</si>
  <si>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</si>
  <si>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</si>
  <si>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</si>
  <si>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</si>
  <si>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</si>
  <si>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</si>
  <si>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</si>
  <si>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</si>
  <si>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</si>
  <si>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</si>
  <si>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</si>
  <si>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</si>
  <si>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</si>
  <si>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</si>
  <si>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</si>
  <si>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</si>
  <si>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Egyéb működési célú kiadások összesen:</t>
  </si>
  <si>
    <t>Egyéb felhalmozási célú kiadások</t>
  </si>
  <si>
    <t>Pénzeszköz átadások összesen:</t>
  </si>
  <si>
    <t>s.sz.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</si>
  <si>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</si>
  <si>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</si>
  <si>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</si>
  <si>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</si>
  <si>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</si>
  <si>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</si>
  <si>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</si>
  <si>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</si>
  <si>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</si>
  <si>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</si>
  <si>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</si>
  <si>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</si>
  <si>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Egyesített Szociális Intézmény-egyéb tárgyi eszközök</t>
  </si>
  <si>
    <t>Adatok Ft-ban</t>
  </si>
  <si>
    <t>Felújtás</t>
  </si>
  <si>
    <t>Összesen felhalmozási kiadások:</t>
  </si>
  <si>
    <t>Eredeti előirányzat</t>
  </si>
  <si>
    <t>Módosított előirányzat</t>
  </si>
  <si>
    <t>33.</t>
  </si>
  <si>
    <t>CSORVÁS VÁROS ÖNKORMÁNYZATA ÉS KÖLTSÉGVETÉSI SZERVEI PÉNZELLÁTÁSA</t>
  </si>
  <si>
    <t>Csorváson működő önszerveződő közösségek támogatása</t>
  </si>
  <si>
    <t>Magánszemélyek kommunális adója</t>
  </si>
  <si>
    <t>KÖLTSÉGVETÉSI, FINANSZÍROZÁSI BEVÉTELEK ÉS KIADÁSOK EGYENLEGE</t>
  </si>
  <si>
    <t>Kormányzati funkció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</si>
  <si>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</si>
  <si>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</si>
  <si>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</si>
  <si>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</si>
  <si>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</si>
  <si>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</si>
  <si>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</si>
  <si>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</si>
  <si>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</si>
  <si>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</si>
  <si>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</si>
  <si>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</si>
  <si>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</si>
  <si>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</si>
  <si>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</si>
  <si>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</si>
  <si>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</si>
  <si>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</si>
  <si>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</si>
  <si>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</si>
  <si>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</si>
  <si>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</si>
  <si>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</si>
  <si>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</si>
  <si>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</si>
  <si>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2022. évi eredeti ei.</t>
  </si>
  <si>
    <t>2022. 
mód ei.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</si>
  <si>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</si>
  <si>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</si>
  <si>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</si>
  <si>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</si>
  <si>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</si>
  <si>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2022 évi eredeti ei.</t>
  </si>
  <si>
    <t>Hosszabb időtart.közfogl.('041233)</t>
  </si>
  <si>
    <t>Önkormányzatokfinanszirozások ('018030)</t>
  </si>
  <si>
    <t>Mezőgazdasági támogatások(042120)</t>
  </si>
  <si>
    <t>Településfejlesztési projektek  (062020)</t>
  </si>
  <si>
    <t>Az Önkormányzat 2022. évi költségvetésének bevételei:</t>
  </si>
  <si>
    <t>Közmunkaprogramban részt vevő 2021.03.01-2022.02.28.</t>
  </si>
  <si>
    <t>Közmunkaprogramban részt vevő :</t>
  </si>
  <si>
    <t>Önkormányzat (Polgármesteri hivatal)épület. Felújtása</t>
  </si>
  <si>
    <t>MFP-ÖTIK/2021.3284944660 -Edison klub felújtása</t>
  </si>
  <si>
    <t>Önkormányzat-egyéb tárgyi eszközök beszerzése</t>
  </si>
  <si>
    <t>Egyéb működési célú támogatások -ifjúság-egészségügyi gondozás</t>
  </si>
  <si>
    <t>Egyéb bírság bevételei</t>
  </si>
  <si>
    <t>Egyéb kölcsön visszatérítése</t>
  </si>
  <si>
    <t>Szennyvíz gyűjtése,tisztítása'052020</t>
  </si>
  <si>
    <t>Működési c. átvet  p. eszközök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</si>
  <si>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</si>
  <si>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</si>
  <si>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</si>
  <si>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</si>
  <si>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</si>
  <si>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</si>
  <si>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</si>
  <si>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</si>
  <si>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</si>
  <si>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FINANSZÍROZÁSI KIADÁSOK ÖSSZESEN: (25-28.)</t>
  </si>
  <si>
    <t>KIADÁSOK ÖSSZESEN: (7+18+29)</t>
  </si>
  <si>
    <t>1. melléklet az önkormányzat 2023. évi költségvetésról szóló ../2023. (…....) 
önkormányzati rendelethez</t>
  </si>
  <si>
    <t>Az Önkormányzat 2023. évi költségvetési 
bevételei és kiadásai mérlegét jogcímek szerint</t>
  </si>
  <si>
    <t>2023. évi 
előirányzat</t>
  </si>
  <si>
    <t>2023. évi
mód. előirányzat</t>
  </si>
  <si>
    <t>2. melléklet az önkormányzat 2023. évi költségvetésról szóló ../2023. (…...) önkormányzati rendelethez</t>
  </si>
  <si>
    <t xml:space="preserve">Csorvás Város Önkormányzat 2023 évi bevételeinek alakulása -kormányzati funkcióként </t>
  </si>
  <si>
    <t>2023. évi előirányzat</t>
  </si>
  <si>
    <t>2023. 
mód ei.</t>
  </si>
  <si>
    <t>3. melléklet az önkormányzat 2023. évi költségvetésról szóló ../2023. (…..) önkormányzati rendelethez</t>
  </si>
  <si>
    <t>Csorvás Város Önkormányzata 2023. évi bevételeinek alakulása - Csorvási Polgármesteri Hivatal 
forintban</t>
  </si>
  <si>
    <t>2023. évi eredeti ei.</t>
  </si>
  <si>
    <t xml:space="preserve">Csorvás Város Önkormányzatának Egyesített Szociális Intézménye 2023. évi bevételeinek alakulása                                                                                                              </t>
  </si>
  <si>
    <t>4.  melléklet az önkormányzat 2023 évi költségvetésról szóló .../2023. (…..) önkormányzati rendelethez</t>
  </si>
  <si>
    <t>Csorvás Város Önkormányzatának Óvodája és Bölcsődéje 2023. évi bevételeinek alakulása
forintban</t>
  </si>
  <si>
    <t>5.  melléklet az önkormányzat 2023. évi költségvetésról szóló ../2023. (…..) önkormányzati rendelethez</t>
  </si>
  <si>
    <t>6.  melléklet az önkormányzat 2023. évi költségvetésról szóló ../2023. (....) önkormányzati rendelethez</t>
  </si>
  <si>
    <t>2023. előirányzat</t>
  </si>
  <si>
    <t>2023. 
előirányzat</t>
  </si>
  <si>
    <t>7.  melléklet az önkormányzat 2023. évi költségvetésról szóló ../2023. (…....) önkormányzati rendelethez</t>
  </si>
  <si>
    <t>Csorvási Polgármesteri Hivatal 2023. évi kiadások kiemelt előirányzatonként
forintban</t>
  </si>
  <si>
    <t>8. melléklet az önkormányzat 2023. évi költségvetésról szóló ../2023. (…..) önkormányzati rendelethez</t>
  </si>
  <si>
    <t>Csorvás Város Önkormányzatának Egyesített Szociális Intézménye 2023. évi kiadások kiemelt előirányzatonként
forintban</t>
  </si>
  <si>
    <t>2023 évi eredeti ei.</t>
  </si>
  <si>
    <t xml:space="preserve">9. melléklet az Önkormányzat 2023. évi költségvetéséről szóló ../2023. (....) önkormányzati  rendelethez </t>
  </si>
  <si>
    <t>Csorvás Város Önkormányzatának Óvodája és Bölcsődéje 2023. évi kiadások kiemelt előirányzatonként
forintban</t>
  </si>
  <si>
    <t>10. melléklet az önkormányzat 2023. évi költségvetésról szóló ../2023. (…...) önkormányzati rendelethez</t>
  </si>
  <si>
    <t>11. melléklet az önkormányzat 2023. évi költségvetésról szóló ../2023. (…..) önkormányzati rendelethez</t>
  </si>
  <si>
    <t>12. melléklet az önkormányzat 2023. évi költségvetésról szóló ../2023. (…...) önkormányzati rendelethez</t>
  </si>
  <si>
    <t>13. melléklet az önkormányzat 2023. évi költségvetésról szóló .../2023. (…...) önkormányzati rendelethez</t>
  </si>
  <si>
    <t>Támogatási c. fin. Műveletek('018030)</t>
  </si>
  <si>
    <t>Máshova nem elszámolt kiadások ('049010)</t>
  </si>
  <si>
    <t>Könyvtári állomány gyarapítása(082042)</t>
  </si>
  <si>
    <t>VP-Külterületi útak építése</t>
  </si>
  <si>
    <t>TOP-1.4.1-19-BSI-2019-00014 Mini bölcsőde-eszközök beszerzése</t>
  </si>
  <si>
    <t>MFP-ÖTIK/2021.3284982176 -Városháza felújtása</t>
  </si>
  <si>
    <t>KEHOP-2.2.2-15-2021-00156(Szennyviz telep fejlesztése)</t>
  </si>
  <si>
    <t>Közalkalmazot</t>
  </si>
  <si>
    <t>Egészségügyi szolgálati jogviszony</t>
  </si>
  <si>
    <t xml:space="preserve">Munka törvénykönyves </t>
  </si>
  <si>
    <t>Államháztartáson belüli megelőleg.teljesítése</t>
  </si>
  <si>
    <t>Elvonások és befizetések(2019.évi belterületi utak pályázat visszafizetése)</t>
  </si>
  <si>
    <t>2023.06.30-ig teljesítés</t>
  </si>
  <si>
    <t>Kiadások össszesen</t>
  </si>
  <si>
    <t>Közfogl. Bér('041233)</t>
  </si>
  <si>
    <t>Állami támogatások és megelőlegezések  visszafizetése('018010)</t>
  </si>
  <si>
    <t xml:space="preserve">              Egyéb felhalmozási kiadás ÁHT-n belülre</t>
  </si>
  <si>
    <t>ből Egyéb felhalmozási kiadás ÁHT-n kívülre</t>
  </si>
  <si>
    <t>Elszámolásból származó bevételek (B116)</t>
  </si>
  <si>
    <t>Polgármesteri Hivatal</t>
  </si>
  <si>
    <t>Csorvás Város Óvodája és Bölcsödéje</t>
  </si>
  <si>
    <t>Önkormányzat immateriális javak beszerzése</t>
  </si>
  <si>
    <t>MFP-ÖTIK/2022-Művelődési ház és könyvtár nyílászáró csere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</si>
</sst>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F_t_-;\-* #,##0.00\ _F_t_-;_-* &quot;-&quot;??\ _F_t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,##0.0"/>
    <numFmt numFmtId="170" formatCode="#,##0\ &quot;Ft&quot;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name val="Times New Roman"/>
      <family val="1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32" fillId="0" borderId="0"/>
    <xf numFmtId="0" fontId="38" fillId="0" borderId="0"/>
    <xf numFmtId="0" fontId="4" fillId="0" borderId="0"/>
    <xf numFmtId="0" fontId="32" fillId="0" borderId="0"/>
    <xf numFmtId="43" fontId="40" fillId="0" borderId="0" applyFont="0" applyFill="0" applyBorder="0" applyAlignment="0" applyProtection="0"/>
    <xf numFmtId="0" fontId="43" fillId="0" borderId="0"/>
    <xf numFmtId="9" fontId="45" fillId="0" borderId="0" applyFont="0" applyFill="0" applyBorder="0" applyAlignment="0" applyProtection="0"/>
    <xf numFmtId="0" fontId="32" fillId="0" borderId="0"/>
    <xf numFmtId="0" fontId="51" fillId="0" borderId="0"/>
    <xf numFmtId="0" fontId="32" fillId="0" borderId="0"/>
    <xf numFmtId="0" fontId="68" fillId="0" borderId="0"/>
    <xf numFmtId="0" fontId="73" fillId="0" borderId="0"/>
  </cellStyleXfs>
  <cellXfs count="528">
    <xf numFmtId="0" fontId="0" fillId="0" borderId="0" xfId="0"/>
    <xf numFmtId="0" fontId="11" fillId="0" borderId="1" xfId="1" applyFont="1" applyBorder="1" applyAlignment="1">
      <alignment horizontal="center"/>
    </xf>
    <xf numFmtId="0" fontId="15" fillId="0" borderId="1" xfId="1" applyFont="1" applyBorder="1" applyAlignment="1">
      <alignment vertical="center"/>
    </xf>
    <xf numFmtId="0" fontId="10" fillId="0" borderId="0" xfId="1" applyFont="1"/>
    <xf numFmtId="0" fontId="24" fillId="0" borderId="1" xfId="5" applyFont="1" applyBorder="1" applyAlignment="1">
      <alignment vertical="center"/>
    </xf>
    <xf numFmtId="0" fontId="25" fillId="0" borderId="1" xfId="5" applyFont="1" applyBorder="1" applyAlignment="1">
      <alignment horizontal="center"/>
    </xf>
    <xf numFmtId="0" fontId="16" fillId="0" borderId="1" xfId="5" applyFont="1" applyBorder="1" applyAlignment="1">
      <alignment vertical="center"/>
    </xf>
    <xf numFmtId="3" fontId="29" fillId="0" borderId="1" xfId="5" applyNumberFormat="1" applyFont="1" applyBorder="1" applyAlignment="1">
      <alignment horizontal="right" vertical="center"/>
    </xf>
    <xf numFmtId="3" fontId="29" fillId="0" borderId="1" xfId="5" applyNumberFormat="1" applyFont="1" applyBorder="1" applyAlignment="1">
      <alignment horizontal="right" vertical="center" wrapText="1"/>
    </xf>
    <xf numFmtId="0" fontId="22" fillId="0" borderId="0" xfId="5" applyFont="1"/>
    <xf numFmtId="0" fontId="16" fillId="2" borderId="1" xfId="5" applyFont="1" applyFill="1" applyBorder="1" applyAlignment="1">
      <alignment vertical="center"/>
    </xf>
    <xf numFmtId="0" fontId="22" fillId="0" borderId="1" xfId="5" applyFont="1" applyBorder="1" applyAlignment="1">
      <alignment horizontal="center"/>
    </xf>
    <xf numFmtId="0" fontId="27" fillId="0" borderId="1" xfId="5" applyFont="1" applyBorder="1" applyAlignment="1">
      <alignment horizontal="center" wrapText="1"/>
    </xf>
    <xf numFmtId="0" fontId="28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1" xfId="5" applyFont="1" applyBorder="1"/>
    <xf numFmtId="0" fontId="27" fillId="0" borderId="1" xfId="5" applyFont="1" applyBorder="1" applyAlignment="1">
      <alignment horizontal="center"/>
    </xf>
    <xf numFmtId="0" fontId="29" fillId="0" borderId="1" xfId="5" applyFont="1" applyBorder="1" applyAlignment="1">
      <alignment vertical="center"/>
    </xf>
    <xf numFmtId="0" fontId="29" fillId="0" borderId="0" xfId="5" applyFont="1"/>
    <xf numFmtId="0" fontId="22" fillId="0" borderId="1" xfId="5" applyFont="1" applyBorder="1" applyAlignment="1">
      <alignment vertical="center"/>
    </xf>
    <xf numFmtId="3" fontId="22" fillId="0" borderId="0" xfId="5" applyNumberFormat="1" applyFont="1"/>
    <xf numFmtId="0" fontId="29" fillId="0" borderId="1" xfId="5" applyFont="1" applyBorder="1"/>
    <xf numFmtId="0" fontId="10" fillId="0" borderId="1" xfId="1" applyFont="1" applyBorder="1"/>
    <xf numFmtId="0" fontId="1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vertical="center"/>
    </xf>
    <xf numFmtId="3" fontId="14" fillId="0" borderId="0" xfId="1" applyNumberFormat="1" applyFont="1" applyAlignment="1">
      <alignment horizontal="right" vertical="center" wrapText="1"/>
    </xf>
    <xf numFmtId="0" fontId="14" fillId="0" borderId="0" xfId="1" applyFont="1"/>
    <xf numFmtId="0" fontId="10" fillId="0" borderId="1" xfId="1" applyFont="1" applyBorder="1" applyAlignment="1">
      <alignment vertical="center"/>
    </xf>
    <xf numFmtId="0" fontId="14" fillId="0" borderId="1" xfId="1" applyFont="1" applyBorder="1"/>
    <xf numFmtId="3" fontId="29" fillId="0" borderId="0" xfId="5" applyNumberFormat="1" applyFont="1"/>
    <xf numFmtId="165" fontId="10" fillId="0" borderId="0" xfId="1" applyNumberFormat="1" applyFont="1"/>
    <xf numFmtId="165" fontId="29" fillId="0" borderId="1" xfId="5" applyNumberFormat="1" applyFont="1" applyBorder="1" applyAlignment="1">
      <alignment horizontal="right" vertical="center"/>
    </xf>
    <xf numFmtId="165" fontId="29" fillId="0" borderId="1" xfId="5" applyNumberFormat="1" applyFont="1" applyBorder="1" applyAlignment="1">
      <alignment horizontal="right" vertical="center" wrapText="1"/>
    </xf>
    <xf numFmtId="165" fontId="29" fillId="0" borderId="1" xfId="5" applyNumberFormat="1" applyFont="1" applyBorder="1"/>
    <xf numFmtId="0" fontId="16" fillId="0" borderId="1" xfId="5" applyFont="1" applyBorder="1" applyAlignment="1">
      <alignment vertical="center" wrapText="1"/>
    </xf>
    <xf numFmtId="3" fontId="29" fillId="0" borderId="1" xfId="5" applyNumberFormat="1" applyFont="1" applyBorder="1"/>
    <xf numFmtId="0" fontId="29" fillId="0" borderId="1" xfId="5" applyFont="1" applyBorder="1" applyAlignment="1">
      <alignment horizontal="center"/>
    </xf>
    <xf numFmtId="0" fontId="31" fillId="0" borderId="1" xfId="5" applyFont="1" applyBorder="1" applyAlignment="1">
      <alignment horizontal="left" vertical="center"/>
    </xf>
    <xf numFmtId="0" fontId="28" fillId="0" borderId="1" xfId="5" applyFont="1" applyBorder="1" applyAlignment="1">
      <alignment horizontal="left" vertical="center"/>
    </xf>
    <xf numFmtId="3" fontId="9" fillId="0" borderId="1" xfId="1" applyNumberFormat="1" applyFont="1" applyBorder="1" applyAlignment="1">
      <alignment vertical="center"/>
    </xf>
    <xf numFmtId="0" fontId="10" fillId="0" borderId="0" xfId="5" applyFont="1"/>
    <xf numFmtId="0" fontId="11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 wrapText="1"/>
    </xf>
    <xf numFmtId="0" fontId="23" fillId="0" borderId="1" xfId="5" applyFont="1" applyBorder="1" applyAlignment="1">
      <alignment vertical="center"/>
    </xf>
    <xf numFmtId="165" fontId="23" fillId="0" borderId="1" xfId="5" applyNumberFormat="1" applyFont="1" applyBorder="1" applyAlignment="1">
      <alignment vertical="center"/>
    </xf>
    <xf numFmtId="0" fontId="10" fillId="0" borderId="1" xfId="5" applyFont="1" applyBorder="1"/>
    <xf numFmtId="0" fontId="6" fillId="0" borderId="0" xfId="5"/>
    <xf numFmtId="3" fontId="6" fillId="0" borderId="0" xfId="5" applyNumberFormat="1"/>
    <xf numFmtId="0" fontId="11" fillId="0" borderId="1" xfId="5" applyFont="1" applyBorder="1" applyAlignment="1">
      <alignment horizontal="center" wrapText="1"/>
    </xf>
    <xf numFmtId="0" fontId="6" fillId="0" borderId="1" xfId="5" applyBorder="1"/>
    <xf numFmtId="0" fontId="14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wrapText="1"/>
    </xf>
    <xf numFmtId="0" fontId="18" fillId="0" borderId="0" xfId="5" applyFont="1"/>
    <xf numFmtId="0" fontId="21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0" fontId="25" fillId="0" borderId="0" xfId="5" applyFont="1"/>
    <xf numFmtId="3" fontId="22" fillId="0" borderId="1" xfId="5" applyNumberFormat="1" applyFont="1" applyBorder="1"/>
    <xf numFmtId="0" fontId="29" fillId="0" borderId="1" xfId="5" applyFont="1" applyBorder="1" applyAlignment="1">
      <alignment horizontal="center" vertical="center"/>
    </xf>
    <xf numFmtId="3" fontId="22" fillId="0" borderId="1" xfId="5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165" fontId="14" fillId="0" borderId="1" xfId="1" applyNumberFormat="1" applyFont="1" applyBorder="1" applyAlignment="1">
      <alignment horizontal="center" vertical="center" wrapText="1"/>
    </xf>
    <xf numFmtId="3" fontId="10" fillId="0" borderId="0" xfId="5" applyNumberFormat="1" applyFont="1"/>
    <xf numFmtId="3" fontId="14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/>
    <xf numFmtId="3" fontId="15" fillId="0" borderId="1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14" fillId="0" borderId="1" xfId="1" applyNumberFormat="1" applyFont="1" applyBorder="1"/>
    <xf numFmtId="1" fontId="10" fillId="0" borderId="1" xfId="1" applyNumberFormat="1" applyFont="1" applyBorder="1"/>
    <xf numFmtId="3" fontId="10" fillId="0" borderId="1" xfId="1" applyNumberFormat="1" applyFont="1" applyBorder="1" applyAlignment="1">
      <alignment horizontal="right" vertical="center"/>
    </xf>
    <xf numFmtId="3" fontId="23" fillId="0" borderId="1" xfId="5" applyNumberFormat="1" applyFont="1" applyBorder="1" applyAlignment="1">
      <alignment vertical="center"/>
    </xf>
    <xf numFmtId="3" fontId="23" fillId="0" borderId="1" xfId="5" applyNumberFormat="1" applyFont="1" applyBorder="1" applyAlignment="1">
      <alignment horizontal="right" vertical="center"/>
    </xf>
    <xf numFmtId="3" fontId="21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/>
    <xf numFmtId="3" fontId="15" fillId="0" borderId="1" xfId="5" applyNumberFormat="1" applyFont="1" applyBorder="1" applyAlignment="1">
      <alignment vertical="center"/>
    </xf>
    <xf numFmtId="3" fontId="15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horizontal="right" vertical="center"/>
    </xf>
    <xf numFmtId="3" fontId="14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 wrapText="1"/>
    </xf>
    <xf numFmtId="3" fontId="16" fillId="0" borderId="1" xfId="5" applyNumberFormat="1" applyFont="1" applyBorder="1" applyAlignment="1">
      <alignment vertical="center"/>
    </xf>
    <xf numFmtId="3" fontId="16" fillId="0" borderId="1" xfId="6" applyNumberFormat="1" applyFont="1" applyFill="1" applyBorder="1" applyAlignment="1">
      <alignment vertical="center"/>
    </xf>
    <xf numFmtId="3" fontId="30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/>
    </xf>
    <xf numFmtId="3" fontId="16" fillId="0" borderId="1" xfId="6" applyNumberFormat="1" applyFont="1" applyFill="1" applyBorder="1" applyAlignment="1">
      <alignment horizontal="right" vertical="center"/>
    </xf>
    <xf numFmtId="3" fontId="22" fillId="0" borderId="1" xfId="5" applyNumberFormat="1" applyFont="1" applyBorder="1" applyAlignment="1">
      <alignment vertical="center"/>
    </xf>
    <xf numFmtId="3" fontId="14" fillId="0" borderId="1" xfId="5" applyNumberFormat="1" applyFont="1" applyBorder="1" applyAlignment="1">
      <alignment horizontal="right" vertical="center"/>
    </xf>
    <xf numFmtId="3" fontId="22" fillId="0" borderId="8" xfId="5" applyNumberFormat="1" applyFont="1" applyBorder="1"/>
    <xf numFmtId="0" fontId="12" fillId="0" borderId="1" xfId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/>
    </xf>
    <xf numFmtId="0" fontId="21" fillId="0" borderId="1" xfId="5" applyFont="1" applyBorder="1" applyAlignment="1">
      <alignment horizontal="center" wrapText="1"/>
    </xf>
    <xf numFmtId="3" fontId="23" fillId="2" borderId="1" xfId="5" applyNumberFormat="1" applyFont="1" applyFill="1" applyBorder="1" applyAlignment="1">
      <alignment horizontal="right" vertical="center"/>
    </xf>
    <xf numFmtId="0" fontId="10" fillId="0" borderId="1" xfId="5" quotePrefix="1" applyFont="1" applyBorder="1" applyAlignment="1">
      <alignment horizontal="center"/>
    </xf>
    <xf numFmtId="0" fontId="14" fillId="0" borderId="1" xfId="5" applyFont="1" applyBorder="1" applyAlignment="1">
      <alignment horizontal="center" vertical="center" wrapText="1"/>
    </xf>
    <xf numFmtId="3" fontId="6" fillId="0" borderId="1" xfId="5" applyNumberFormat="1" applyBorder="1"/>
    <xf numFmtId="0" fontId="14" fillId="0" borderId="1" xfId="5" applyFont="1" applyBorder="1" applyAlignment="1">
      <alignment horizontal="center" wrapText="1"/>
    </xf>
    <xf numFmtId="0" fontId="21" fillId="0" borderId="1" xfId="5" applyFont="1" applyBorder="1" applyAlignment="1">
      <alignment vertical="center"/>
    </xf>
    <xf numFmtId="0" fontId="19" fillId="0" borderId="1" xfId="5" applyFont="1" applyBorder="1" applyAlignment="1">
      <alignment horizontal="center" wrapText="1"/>
    </xf>
    <xf numFmtId="3" fontId="16" fillId="2" borderId="1" xfId="6" applyNumberFormat="1" applyFont="1" applyFill="1" applyBorder="1" applyAlignment="1">
      <alignment vertical="center"/>
    </xf>
    <xf numFmtId="0" fontId="29" fillId="0" borderId="1" xfId="5" applyFont="1" applyBorder="1" applyAlignment="1">
      <alignment horizontal="center" wrapText="1"/>
    </xf>
    <xf numFmtId="0" fontId="22" fillId="0" borderId="1" xfId="5" applyFont="1" applyBorder="1" applyAlignment="1">
      <alignment horizontal="center" wrapText="1"/>
    </xf>
    <xf numFmtId="0" fontId="25" fillId="0" borderId="0" xfId="5" applyFont="1" applyAlignment="1">
      <alignment horizontal="center"/>
    </xf>
    <xf numFmtId="0" fontId="10" fillId="0" borderId="1" xfId="5" applyFont="1" applyBorder="1" applyAlignment="1">
      <alignment vertical="center"/>
    </xf>
    <xf numFmtId="3" fontId="16" fillId="2" borderId="1" xfId="5" applyNumberFormat="1" applyFont="1" applyFill="1" applyBorder="1" applyAlignment="1">
      <alignment horizontal="right" vertical="center"/>
    </xf>
    <xf numFmtId="3" fontId="34" fillId="0" borderId="1" xfId="5" applyNumberFormat="1" applyFont="1" applyBorder="1" applyAlignment="1">
      <alignment vertical="center"/>
    </xf>
    <xf numFmtId="3" fontId="33" fillId="0" borderId="1" xfId="5" applyNumberFormat="1" applyFont="1" applyBorder="1" applyAlignment="1">
      <alignment horizontal="right" vertical="center" wrapText="1"/>
    </xf>
    <xf numFmtId="3" fontId="10" fillId="0" borderId="0" xfId="1" applyNumberFormat="1" applyFont="1"/>
    <xf numFmtId="3" fontId="16" fillId="2" borderId="1" xfId="5" applyNumberFormat="1" applyFont="1" applyFill="1" applyBorder="1" applyAlignment="1">
      <alignment horizontal="right" vertical="center" wrapText="1"/>
    </xf>
    <xf numFmtId="3" fontId="16" fillId="2" borderId="1" xfId="5" applyNumberFormat="1" applyFont="1" applyFill="1" applyBorder="1" applyAlignment="1">
      <alignment vertical="center"/>
    </xf>
    <xf numFmtId="0" fontId="23" fillId="0" borderId="1" xfId="5" applyFont="1" applyBorder="1" applyAlignment="1">
      <alignment horizontal="left" vertical="center"/>
    </xf>
    <xf numFmtId="0" fontId="24" fillId="0" borderId="1" xfId="5" applyFont="1" applyBorder="1" applyAlignment="1">
      <alignment horizontal="center" vertical="center" wrapText="1"/>
    </xf>
    <xf numFmtId="3" fontId="24" fillId="0" borderId="1" xfId="5" applyNumberFormat="1" applyFont="1" applyBorder="1" applyAlignment="1">
      <alignment horizontal="center" vertical="center" wrapText="1"/>
    </xf>
    <xf numFmtId="3" fontId="22" fillId="0" borderId="1" xfId="5" applyNumberFormat="1" applyFont="1" applyBorder="1" applyAlignment="1">
      <alignment horizontal="center" vertical="center" wrapText="1"/>
    </xf>
    <xf numFmtId="3" fontId="35" fillId="0" borderId="0" xfId="1" applyNumberFormat="1" applyFont="1"/>
    <xf numFmtId="3" fontId="36" fillId="0" borderId="0" xfId="5" applyNumberFormat="1" applyFont="1"/>
    <xf numFmtId="165" fontId="35" fillId="0" borderId="0" xfId="1" applyNumberFormat="1" applyFont="1"/>
    <xf numFmtId="165" fontId="37" fillId="0" borderId="0" xfId="1" applyNumberFormat="1" applyFont="1"/>
    <xf numFmtId="3" fontId="37" fillId="0" borderId="0" xfId="1" applyNumberFormat="1" applyFont="1"/>
    <xf numFmtId="3" fontId="10" fillId="0" borderId="1" xfId="1" applyNumberFormat="1" applyFont="1" applyBorder="1" applyAlignment="1">
      <alignment horizontal="center" wrapText="1"/>
    </xf>
    <xf numFmtId="3" fontId="10" fillId="0" borderId="1" xfId="1" applyNumberFormat="1" applyFont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3" fontId="41" fillId="0" borderId="1" xfId="5" applyNumberFormat="1" applyFont="1" applyBorder="1" applyAlignment="1">
      <alignment horizontal="right" vertical="center"/>
    </xf>
    <xf numFmtId="3" fontId="29" fillId="0" borderId="1" xfId="5" applyNumberFormat="1" applyFont="1" applyBorder="1" applyAlignment="1">
      <alignment horizontal="center" vertical="center" wrapText="1"/>
    </xf>
    <xf numFmtId="166" fontId="29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3" fontId="22" fillId="2" borderId="0" xfId="5" applyNumberFormat="1" applyFont="1" applyFill="1"/>
    <xf numFmtId="0" fontId="22" fillId="2" borderId="1" xfId="5" applyFont="1" applyFill="1" applyBorder="1" applyAlignment="1">
      <alignment horizontal="center"/>
    </xf>
    <xf numFmtId="0" fontId="31" fillId="2" borderId="1" xfId="5" applyFont="1" applyFill="1" applyBorder="1" applyAlignment="1">
      <alignment horizontal="center" vertical="center"/>
    </xf>
    <xf numFmtId="3" fontId="22" fillId="2" borderId="1" xfId="5" applyNumberFormat="1" applyFont="1" applyFill="1" applyBorder="1" applyAlignment="1">
      <alignment horizontal="right" vertical="center"/>
    </xf>
    <xf numFmtId="0" fontId="22" fillId="2" borderId="0" xfId="5" applyFont="1" applyFill="1"/>
    <xf numFmtId="0" fontId="43" fillId="0" borderId="0" xfId="12"/>
    <xf numFmtId="3" fontId="43" fillId="0" borderId="0" xfId="12" applyNumberFormat="1"/>
    <xf numFmtId="0" fontId="44" fillId="0" borderId="1" xfId="12" applyFont="1" applyBorder="1"/>
    <xf numFmtId="49" fontId="9" fillId="0" borderId="1" xfId="12" applyNumberFormat="1" applyFont="1" applyBorder="1" applyAlignment="1">
      <alignment horizontal="center"/>
    </xf>
    <xf numFmtId="3" fontId="9" fillId="0" borderId="5" xfId="12" applyNumberFormat="1" applyFont="1" applyBorder="1"/>
    <xf numFmtId="0" fontId="9" fillId="0" borderId="5" xfId="12" applyFont="1" applyBorder="1" applyAlignment="1">
      <alignment wrapText="1"/>
    </xf>
    <xf numFmtId="49" fontId="9" fillId="0" borderId="4" xfId="12" applyNumberFormat="1" applyFont="1" applyBorder="1" applyAlignment="1">
      <alignment horizontal="center"/>
    </xf>
    <xf numFmtId="3" fontId="9" fillId="0" borderId="9" xfId="12" applyNumberFormat="1" applyFont="1" applyBorder="1"/>
    <xf numFmtId="0" fontId="9" fillId="0" borderId="9" xfId="12" applyFont="1" applyBorder="1" applyAlignment="1">
      <alignment wrapText="1"/>
    </xf>
    <xf numFmtId="49" fontId="9" fillId="0" borderId="16" xfId="12" applyNumberFormat="1" applyFont="1" applyBorder="1" applyAlignment="1">
      <alignment horizontal="center"/>
    </xf>
    <xf numFmtId="0" fontId="15" fillId="0" borderId="0" xfId="12" applyFont="1"/>
    <xf numFmtId="165" fontId="15" fillId="0" borderId="0" xfId="12" applyNumberFormat="1" applyFont="1"/>
    <xf numFmtId="165" fontId="9" fillId="0" borderId="0" xfId="12" applyNumberFormat="1" applyFont="1" applyAlignment="1">
      <alignment horizontal="right"/>
    </xf>
    <xf numFmtId="0" fontId="9" fillId="0" borderId="0" xfId="12" applyFont="1"/>
    <xf numFmtId="49" fontId="9" fillId="0" borderId="0" xfId="12" applyNumberFormat="1" applyFont="1" applyAlignment="1">
      <alignment horizontal="left"/>
    </xf>
    <xf numFmtId="165" fontId="15" fillId="0" borderId="0" xfId="12" applyNumberFormat="1" applyFont="1" applyAlignment="1">
      <alignment horizontal="center" vertical="center"/>
    </xf>
    <xf numFmtId="49" fontId="15" fillId="0" borderId="0" xfId="12" applyNumberFormat="1" applyFont="1" applyAlignment="1">
      <alignment horizontal="center"/>
    </xf>
    <xf numFmtId="3" fontId="9" fillId="0" borderId="6" xfId="12" applyNumberFormat="1" applyFont="1" applyBorder="1"/>
    <xf numFmtId="0" fontId="9" fillId="0" borderId="6" xfId="12" applyFont="1" applyBorder="1"/>
    <xf numFmtId="49" fontId="9" fillId="0" borderId="6" xfId="12" applyNumberFormat="1" applyFont="1" applyBorder="1" applyAlignment="1">
      <alignment horizontal="center"/>
    </xf>
    <xf numFmtId="0" fontId="9" fillId="0" borderId="5" xfId="12" applyFont="1" applyBorder="1"/>
    <xf numFmtId="0" fontId="15" fillId="0" borderId="1" xfId="12" applyFont="1" applyBorder="1"/>
    <xf numFmtId="3" fontId="15" fillId="0" borderId="1" xfId="12" applyNumberFormat="1" applyFont="1" applyBorder="1"/>
    <xf numFmtId="3" fontId="9" fillId="0" borderId="1" xfId="12" applyNumberFormat="1" applyFont="1" applyBorder="1"/>
    <xf numFmtId="0" fontId="9" fillId="0" borderId="1" xfId="12" applyFont="1" applyBorder="1"/>
    <xf numFmtId="3" fontId="15" fillId="0" borderId="3" xfId="12" applyNumberFormat="1" applyFont="1" applyBorder="1"/>
    <xf numFmtId="0" fontId="15" fillId="0" borderId="3" xfId="12" applyFont="1" applyBorder="1"/>
    <xf numFmtId="0" fontId="9" fillId="0" borderId="6" xfId="12" applyFont="1" applyBorder="1" applyAlignment="1">
      <alignment horizontal="center"/>
    </xf>
    <xf numFmtId="165" fontId="9" fillId="0" borderId="6" xfId="12" applyNumberFormat="1" applyFont="1" applyBorder="1" applyAlignment="1">
      <alignment horizontal="center" vertical="center" wrapText="1"/>
    </xf>
    <xf numFmtId="0" fontId="9" fillId="0" borderId="6" xfId="12" applyFont="1" applyBorder="1" applyAlignment="1">
      <alignment horizontal="center" vertical="center"/>
    </xf>
    <xf numFmtId="49" fontId="9" fillId="0" borderId="6" xfId="12" applyNumberFormat="1" applyFont="1" applyBorder="1" applyAlignment="1">
      <alignment horizontal="center" vertical="center" wrapText="1"/>
    </xf>
    <xf numFmtId="165" fontId="9" fillId="0" borderId="6" xfId="12" applyNumberFormat="1" applyFont="1" applyBorder="1" applyAlignment="1">
      <alignment horizontal="center"/>
    </xf>
    <xf numFmtId="3" fontId="9" fillId="0" borderId="0" xfId="12" applyNumberFormat="1" applyFont="1"/>
    <xf numFmtId="0" fontId="9" fillId="0" borderId="0" xfId="12" applyFont="1" applyAlignment="1">
      <alignment wrapText="1"/>
    </xf>
    <xf numFmtId="49" fontId="9" fillId="0" borderId="0" xfId="12" applyNumberFormat="1" applyFont="1" applyAlignment="1">
      <alignment horizontal="center"/>
    </xf>
    <xf numFmtId="0" fontId="9" fillId="0" borderId="1" xfId="12" applyFont="1" applyBorder="1" applyAlignment="1">
      <alignment wrapText="1"/>
    </xf>
    <xf numFmtId="0" fontId="15" fillId="0" borderId="1" xfId="12" applyFont="1" applyBorder="1" applyAlignment="1">
      <alignment wrapText="1"/>
    </xf>
    <xf numFmtId="165" fontId="9" fillId="0" borderId="1" xfId="12" applyNumberFormat="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 wrapText="1"/>
    </xf>
    <xf numFmtId="165" fontId="9" fillId="0" borderId="1" xfId="12" applyNumberFormat="1" applyFont="1" applyBorder="1" applyAlignment="1">
      <alignment horizontal="center" vertical="center"/>
    </xf>
    <xf numFmtId="3" fontId="9" fillId="0" borderId="1" xfId="12" applyNumberFormat="1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/>
    </xf>
    <xf numFmtId="0" fontId="47" fillId="0" borderId="0" xfId="12" applyFont="1" applyAlignment="1">
      <alignment horizontal="center"/>
    </xf>
    <xf numFmtId="0" fontId="48" fillId="0" borderId="0" xfId="12" applyFont="1"/>
    <xf numFmtId="0" fontId="16" fillId="2" borderId="0" xfId="10" applyFont="1" applyFill="1" applyAlignment="1">
      <alignment wrapText="1"/>
    </xf>
    <xf numFmtId="0" fontId="16" fillId="2" borderId="0" xfId="10" applyFont="1" applyFill="1"/>
    <xf numFmtId="0" fontId="49" fillId="0" borderId="0" xfId="10" applyFont="1"/>
    <xf numFmtId="0" fontId="49" fillId="2" borderId="21" xfId="10" applyFont="1" applyFill="1" applyBorder="1"/>
    <xf numFmtId="0" fontId="49" fillId="2" borderId="0" xfId="10" applyFont="1" applyFill="1"/>
    <xf numFmtId="0" fontId="16" fillId="2" borderId="23" xfId="10" applyFont="1" applyFill="1" applyBorder="1" applyAlignment="1">
      <alignment wrapText="1"/>
    </xf>
    <xf numFmtId="0" fontId="49" fillId="2" borderId="24" xfId="10" applyFont="1" applyFill="1" applyBorder="1"/>
    <xf numFmtId="0" fontId="49" fillId="2" borderId="25" xfId="10" applyFont="1" applyFill="1" applyBorder="1"/>
    <xf numFmtId="0" fontId="49" fillId="2" borderId="26" xfId="10" applyFont="1" applyFill="1" applyBorder="1"/>
    <xf numFmtId="0" fontId="50" fillId="2" borderId="25" xfId="10" applyFont="1" applyFill="1" applyBorder="1" applyAlignment="1">
      <alignment wrapText="1"/>
    </xf>
    <xf numFmtId="0" fontId="50" fillId="2" borderId="0" xfId="10" applyFont="1" applyFill="1" applyAlignment="1">
      <alignment wrapText="1"/>
    </xf>
    <xf numFmtId="0" fontId="16" fillId="2" borderId="27" xfId="10" applyFont="1" applyFill="1" applyBorder="1"/>
    <xf numFmtId="0" fontId="30" fillId="0" borderId="16" xfId="14" applyFont="1" applyBorder="1" applyAlignment="1">
      <alignment horizontal="center"/>
    </xf>
    <xf numFmtId="3" fontId="30" fillId="0" borderId="9" xfId="15" applyNumberFormat="1" applyFont="1" applyBorder="1" applyAlignment="1">
      <alignment horizontal="center"/>
    </xf>
    <xf numFmtId="0" fontId="32" fillId="0" borderId="0" xfId="10" applyAlignment="1">
      <alignment horizontal="right"/>
    </xf>
    <xf numFmtId="0" fontId="32" fillId="0" borderId="0" xfId="10"/>
    <xf numFmtId="0" fontId="16" fillId="0" borderId="1" xfId="10" applyFont="1" applyBorder="1" applyAlignment="1">
      <alignment horizontal="left" wrapText="1"/>
    </xf>
    <xf numFmtId="0" fontId="52" fillId="0" borderId="0" xfId="10" applyFont="1" applyAlignment="1">
      <alignment horizontal="left"/>
    </xf>
    <xf numFmtId="3" fontId="52" fillId="0" borderId="0" xfId="10" applyNumberFormat="1" applyFont="1"/>
    <xf numFmtId="3" fontId="16" fillId="0" borderId="1" xfId="10" applyNumberFormat="1" applyFont="1" applyBorder="1"/>
    <xf numFmtId="0" fontId="15" fillId="0" borderId="1" xfId="10" applyFont="1" applyBorder="1" applyAlignment="1">
      <alignment vertical="center" wrapText="1"/>
    </xf>
    <xf numFmtId="3" fontId="16" fillId="0" borderId="14" xfId="10" applyNumberFormat="1" applyFont="1" applyBorder="1"/>
    <xf numFmtId="3" fontId="30" fillId="0" borderId="1" xfId="10" applyNumberFormat="1" applyFont="1" applyBorder="1"/>
    <xf numFmtId="3" fontId="30" fillId="0" borderId="14" xfId="10" applyNumberFormat="1" applyFont="1" applyBorder="1"/>
    <xf numFmtId="3" fontId="16" fillId="0" borderId="0" xfId="15" applyNumberFormat="1" applyFont="1" applyAlignment="1">
      <alignment horizontal="right"/>
    </xf>
    <xf numFmtId="3" fontId="52" fillId="0" borderId="0" xfId="10" applyNumberFormat="1" applyFont="1" applyAlignment="1">
      <alignment horizontal="left"/>
    </xf>
    <xf numFmtId="3" fontId="30" fillId="0" borderId="18" xfId="10" applyNumberFormat="1" applyFont="1" applyBorder="1"/>
    <xf numFmtId="3" fontId="30" fillId="0" borderId="19" xfId="10" applyNumberFormat="1" applyFont="1" applyBorder="1"/>
    <xf numFmtId="0" fontId="16" fillId="0" borderId="0" xfId="14" applyFont="1"/>
    <xf numFmtId="0" fontId="30" fillId="0" borderId="0" xfId="10" applyFont="1" applyAlignment="1">
      <alignment horizontal="left" wrapText="1"/>
    </xf>
    <xf numFmtId="3" fontId="32" fillId="0" borderId="0" xfId="10" applyNumberFormat="1" applyAlignment="1">
      <alignment horizontal="right"/>
    </xf>
    <xf numFmtId="0" fontId="16" fillId="0" borderId="0" xfId="10" applyFont="1"/>
    <xf numFmtId="0" fontId="16" fillId="0" borderId="0" xfId="10" applyFont="1" applyAlignment="1">
      <alignment wrapText="1"/>
    </xf>
    <xf numFmtId="3" fontId="16" fillId="0" borderId="0" xfId="10" applyNumberFormat="1" applyFont="1"/>
    <xf numFmtId="0" fontId="30" fillId="0" borderId="0" xfId="10" applyFont="1" applyAlignment="1">
      <alignment wrapText="1"/>
    </xf>
    <xf numFmtId="3" fontId="30" fillId="0" borderId="0" xfId="10" applyNumberFormat="1" applyFont="1"/>
    <xf numFmtId="0" fontId="30" fillId="0" borderId="0" xfId="14" applyFont="1" applyAlignment="1">
      <alignment wrapText="1"/>
    </xf>
    <xf numFmtId="0" fontId="30" fillId="0" borderId="0" xfId="10" applyFont="1" applyAlignment="1">
      <alignment horizontal="right"/>
    </xf>
    <xf numFmtId="0" fontId="53" fillId="0" borderId="0" xfId="14" applyFont="1" applyAlignment="1">
      <alignment wrapText="1"/>
    </xf>
    <xf numFmtId="3" fontId="30" fillId="0" borderId="0" xfId="10" applyNumberFormat="1" applyFont="1" applyAlignment="1">
      <alignment horizontal="right"/>
    </xf>
    <xf numFmtId="3" fontId="30" fillId="0" borderId="0" xfId="15" applyNumberFormat="1" applyFont="1" applyAlignment="1">
      <alignment horizontal="right"/>
    </xf>
    <xf numFmtId="3" fontId="16" fillId="0" borderId="0" xfId="10" applyNumberFormat="1" applyFont="1" applyAlignment="1">
      <alignment horizontal="right"/>
    </xf>
    <xf numFmtId="0" fontId="53" fillId="0" borderId="0" xfId="10" applyFont="1" applyAlignment="1">
      <alignment wrapText="1"/>
    </xf>
    <xf numFmtId="3" fontId="30" fillId="0" borderId="0" xfId="14" applyNumberFormat="1" applyFont="1"/>
    <xf numFmtId="0" fontId="16" fillId="0" borderId="0" xfId="14" applyFont="1" applyAlignment="1">
      <alignment wrapText="1"/>
    </xf>
    <xf numFmtId="0" fontId="54" fillId="0" borderId="0" xfId="14" applyFont="1" applyAlignment="1">
      <alignment wrapText="1"/>
    </xf>
    <xf numFmtId="0" fontId="30" fillId="0" borderId="0" xfId="14" applyFont="1"/>
    <xf numFmtId="0" fontId="16" fillId="0" borderId="0" xfId="14" applyFont="1" applyAlignment="1">
      <alignment horizontal="right"/>
    </xf>
    <xf numFmtId="3" fontId="16" fillId="0" borderId="0" xfId="14" applyNumberFormat="1" applyFont="1"/>
    <xf numFmtId="0" fontId="16" fillId="0" borderId="0" xfId="10" applyFont="1" applyAlignment="1">
      <alignment horizontal="right"/>
    </xf>
    <xf numFmtId="167" fontId="55" fillId="0" borderId="0" xfId="10" applyNumberFormat="1" applyFont="1"/>
    <xf numFmtId="37" fontId="16" fillId="0" borderId="0" xfId="10" applyNumberFormat="1" applyFont="1" applyAlignment="1">
      <alignment wrapText="1"/>
    </xf>
    <xf numFmtId="167" fontId="16" fillId="0" borderId="0" xfId="10" applyNumberFormat="1" applyFont="1"/>
    <xf numFmtId="167" fontId="30" fillId="0" borderId="0" xfId="10" applyNumberFormat="1" applyFont="1"/>
    <xf numFmtId="167" fontId="56" fillId="0" borderId="0" xfId="10" applyNumberFormat="1" applyFont="1"/>
    <xf numFmtId="37" fontId="16" fillId="0" borderId="0" xfId="10" applyNumberFormat="1" applyFont="1" applyAlignment="1">
      <alignment horizontal="right"/>
    </xf>
    <xf numFmtId="37" fontId="30" fillId="0" borderId="0" xfId="10" applyNumberFormat="1" applyFont="1" applyAlignment="1">
      <alignment wrapText="1"/>
    </xf>
    <xf numFmtId="37" fontId="16" fillId="0" borderId="0" xfId="10" applyNumberFormat="1" applyFont="1"/>
    <xf numFmtId="0" fontId="57" fillId="0" borderId="0" xfId="10" applyFont="1"/>
    <xf numFmtId="0" fontId="58" fillId="0" borderId="0" xfId="10" applyFont="1" applyAlignment="1">
      <alignment wrapText="1"/>
    </xf>
    <xf numFmtId="167" fontId="58" fillId="0" borderId="0" xfId="10" applyNumberFormat="1" applyFont="1"/>
    <xf numFmtId="167" fontId="57" fillId="0" borderId="0" xfId="10" applyNumberFormat="1" applyFont="1"/>
    <xf numFmtId="167" fontId="59" fillId="0" borderId="0" xfId="10" applyNumberFormat="1" applyFont="1"/>
    <xf numFmtId="167" fontId="16" fillId="0" borderId="0" xfId="10" applyNumberFormat="1" applyFont="1" applyAlignment="1">
      <alignment horizontal="right"/>
    </xf>
    <xf numFmtId="0" fontId="32" fillId="0" borderId="0" xfId="10" applyAlignment="1">
      <alignment wrapText="1"/>
    </xf>
    <xf numFmtId="167" fontId="32" fillId="0" borderId="0" xfId="10" applyNumberFormat="1"/>
    <xf numFmtId="0" fontId="62" fillId="0" borderId="1" xfId="10" applyFont="1" applyBorder="1" applyAlignment="1">
      <alignment vertical="center" wrapText="1"/>
    </xf>
    <xf numFmtId="3" fontId="60" fillId="0" borderId="1" xfId="10" applyNumberFormat="1" applyFont="1" applyBorder="1" applyAlignment="1">
      <alignment vertical="center"/>
    </xf>
    <xf numFmtId="0" fontId="31" fillId="0" borderId="1" xfId="10" applyFont="1" applyBorder="1" applyAlignment="1">
      <alignment vertical="center" wrapText="1"/>
    </xf>
    <xf numFmtId="3" fontId="31" fillId="0" borderId="1" xfId="10" applyNumberFormat="1" applyFont="1" applyBorder="1" applyAlignment="1">
      <alignment horizontal="right" vertical="center"/>
    </xf>
    <xf numFmtId="3" fontId="32" fillId="0" borderId="0" xfId="10" applyNumberFormat="1"/>
    <xf numFmtId="0" fontId="31" fillId="0" borderId="0" xfId="10" applyFont="1" applyAlignment="1">
      <alignment horizontal="center"/>
    </xf>
    <xf numFmtId="0" fontId="28" fillId="0" borderId="0" xfId="10" applyFont="1"/>
    <xf numFmtId="168" fontId="32" fillId="0" borderId="0" xfId="10" applyNumberFormat="1"/>
    <xf numFmtId="0" fontId="56" fillId="0" borderId="0" xfId="10" applyFont="1" applyAlignment="1">
      <alignment horizontal="center"/>
    </xf>
    <xf numFmtId="0" fontId="55" fillId="0" borderId="0" xfId="10" applyFont="1"/>
    <xf numFmtId="0" fontId="56" fillId="0" borderId="0" xfId="10" applyFont="1"/>
    <xf numFmtId="0" fontId="63" fillId="0" borderId="0" xfId="10" applyFont="1" applyAlignment="1">
      <alignment horizontal="center"/>
    </xf>
    <xf numFmtId="0" fontId="64" fillId="0" borderId="0" xfId="10" applyFont="1"/>
    <xf numFmtId="0" fontId="51" fillId="0" borderId="0" xfId="10" applyFont="1" applyAlignment="1">
      <alignment horizontal="center"/>
    </xf>
    <xf numFmtId="0" fontId="32" fillId="0" borderId="0" xfId="10" applyAlignment="1">
      <alignment horizontal="center"/>
    </xf>
    <xf numFmtId="167" fontId="30" fillId="0" borderId="2" xfId="16" applyNumberFormat="1" applyFont="1" applyBorder="1" applyAlignment="1">
      <alignment horizontal="right"/>
    </xf>
    <xf numFmtId="167" fontId="30" fillId="0" borderId="1" xfId="16" applyNumberFormat="1" applyFont="1" applyBorder="1" applyAlignment="1">
      <alignment horizontal="left" wrapText="1"/>
    </xf>
    <xf numFmtId="3" fontId="16" fillId="0" borderId="1" xfId="16" applyNumberFormat="1" applyFont="1" applyBorder="1" applyAlignment="1">
      <alignment horizontal="centerContinuous"/>
    </xf>
    <xf numFmtId="0" fontId="16" fillId="0" borderId="1" xfId="10" applyFont="1" applyBorder="1" applyAlignment="1">
      <alignment horizontal="left"/>
    </xf>
    <xf numFmtId="0" fontId="16" fillId="0" borderId="0" xfId="10" applyFont="1" applyAlignment="1">
      <alignment horizontal="left"/>
    </xf>
    <xf numFmtId="0" fontId="32" fillId="0" borderId="1" xfId="10" applyBorder="1"/>
    <xf numFmtId="3" fontId="16" fillId="0" borderId="1" xfId="10" applyNumberFormat="1" applyFont="1" applyBorder="1" applyAlignment="1">
      <alignment wrapText="1"/>
    </xf>
    <xf numFmtId="0" fontId="65" fillId="0" borderId="0" xfId="10" applyFont="1"/>
    <xf numFmtId="3" fontId="65" fillId="0" borderId="0" xfId="10" applyNumberFormat="1" applyFont="1"/>
    <xf numFmtId="3" fontId="16" fillId="0" borderId="20" xfId="10" applyNumberFormat="1" applyFont="1" applyBorder="1"/>
    <xf numFmtId="0" fontId="30" fillId="0" borderId="0" xfId="10" applyFont="1"/>
    <xf numFmtId="0" fontId="66" fillId="0" borderId="0" xfId="10" applyFont="1"/>
    <xf numFmtId="0" fontId="16" fillId="0" borderId="0" xfId="16" applyFont="1"/>
    <xf numFmtId="0" fontId="30" fillId="0" borderId="0" xfId="16" applyFont="1"/>
    <xf numFmtId="0" fontId="31" fillId="0" borderId="20" xfId="10" applyFont="1" applyBorder="1" applyAlignment="1">
      <alignment horizontal="center"/>
    </xf>
    <xf numFmtId="0" fontId="28" fillId="0" borderId="18" xfId="10" applyFont="1" applyBorder="1"/>
    <xf numFmtId="3" fontId="28" fillId="0" borderId="18" xfId="10" applyNumberFormat="1" applyFont="1" applyBorder="1" applyAlignment="1">
      <alignment horizontal="right"/>
    </xf>
    <xf numFmtId="3" fontId="16" fillId="0" borderId="0" xfId="10" applyNumberFormat="1" applyFont="1" applyAlignment="1">
      <alignment wrapText="1"/>
    </xf>
    <xf numFmtId="3" fontId="30" fillId="0" borderId="18" xfId="10" applyNumberFormat="1" applyFont="1" applyBorder="1" applyAlignment="1">
      <alignment wrapText="1"/>
    </xf>
    <xf numFmtId="3" fontId="16" fillId="0" borderId="2" xfId="10" applyNumberFormat="1" applyFont="1" applyBorder="1"/>
    <xf numFmtId="3" fontId="69" fillId="0" borderId="14" xfId="10" applyNumberFormat="1" applyFont="1" applyBorder="1" applyAlignment="1">
      <alignment horizontal="center" vertical="center"/>
    </xf>
    <xf numFmtId="3" fontId="69" fillId="0" borderId="1" xfId="10" applyNumberFormat="1" applyFont="1" applyBorder="1" applyAlignment="1">
      <alignment horizontal="center" vertical="center" wrapText="1"/>
    </xf>
    <xf numFmtId="3" fontId="30" fillId="0" borderId="1" xfId="10" applyNumberFormat="1" applyFont="1" applyBorder="1" applyAlignment="1">
      <alignment horizontal="center" vertical="center" wrapText="1"/>
    </xf>
    <xf numFmtId="3" fontId="21" fillId="0" borderId="1" xfId="5" applyNumberFormat="1" applyFont="1" applyBorder="1" applyAlignment="1">
      <alignment horizontal="right" vertical="center" wrapText="1"/>
    </xf>
    <xf numFmtId="3" fontId="16" fillId="0" borderId="1" xfId="15" applyNumberFormat="1" applyFont="1" applyBorder="1" applyAlignment="1">
      <alignment horizontal="left" wrapText="1"/>
    </xf>
    <xf numFmtId="3" fontId="30" fillId="0" borderId="31" xfId="14" applyNumberFormat="1" applyFont="1" applyBorder="1" applyAlignment="1">
      <alignment horizontal="center" wrapText="1"/>
    </xf>
    <xf numFmtId="0" fontId="30" fillId="0" borderId="18" xfId="10" applyFont="1" applyBorder="1" applyAlignment="1">
      <alignment wrapText="1"/>
    </xf>
    <xf numFmtId="0" fontId="30" fillId="0" borderId="1" xfId="10" applyFont="1" applyBorder="1" applyAlignment="1">
      <alignment horizontal="left" wrapText="1"/>
    </xf>
    <xf numFmtId="0" fontId="29" fillId="0" borderId="1" xfId="10" applyFont="1" applyBorder="1" applyAlignment="1">
      <alignment horizontal="center" wrapText="1"/>
    </xf>
    <xf numFmtId="0" fontId="29" fillId="0" borderId="9" xfId="14" applyFont="1" applyBorder="1" applyAlignment="1">
      <alignment horizontal="center" wrapText="1"/>
    </xf>
    <xf numFmtId="3" fontId="16" fillId="0" borderId="1" xfId="15" applyNumberFormat="1" applyFont="1" applyBorder="1" applyAlignment="1">
      <alignment horizontal="center" wrapText="1"/>
    </xf>
    <xf numFmtId="3" fontId="16" fillId="0" borderId="1" xfId="10" applyNumberFormat="1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 wrapText="1"/>
    </xf>
    <xf numFmtId="3" fontId="30" fillId="0" borderId="18" xfId="10" applyNumberFormat="1" applyFont="1" applyBorder="1" applyAlignment="1">
      <alignment horizontal="center" wrapText="1"/>
    </xf>
    <xf numFmtId="0" fontId="61" fillId="0" borderId="1" xfId="10" applyFont="1" applyBorder="1"/>
    <xf numFmtId="3" fontId="28" fillId="0" borderId="1" xfId="10" applyNumberFormat="1" applyFont="1" applyBorder="1" applyAlignment="1">
      <alignment horizontal="center"/>
    </xf>
    <xf numFmtId="167" fontId="30" fillId="0" borderId="31" xfId="16" applyNumberFormat="1" applyFont="1" applyBorder="1" applyAlignment="1">
      <alignment horizontal="right"/>
    </xf>
    <xf numFmtId="167" fontId="30" fillId="0" borderId="3" xfId="16" applyNumberFormat="1" applyFont="1" applyBorder="1" applyAlignment="1">
      <alignment horizontal="left"/>
    </xf>
    <xf numFmtId="3" fontId="22" fillId="0" borderId="3" xfId="16" applyNumberFormat="1" applyFont="1" applyBorder="1" applyAlignment="1">
      <alignment horizontal="center" wrapText="1"/>
    </xf>
    <xf numFmtId="3" fontId="16" fillId="0" borderId="2" xfId="10" applyNumberFormat="1" applyFont="1" applyBorder="1" applyAlignment="1">
      <alignment horizontal="right"/>
    </xf>
    <xf numFmtId="0" fontId="70" fillId="0" borderId="0" xfId="12" applyFont="1"/>
    <xf numFmtId="0" fontId="72" fillId="0" borderId="0" xfId="1" applyFont="1" applyAlignment="1">
      <alignment wrapText="1"/>
    </xf>
    <xf numFmtId="165" fontId="72" fillId="0" borderId="0" xfId="1" applyNumberFormat="1" applyFont="1" applyAlignment="1">
      <alignment wrapText="1"/>
    </xf>
    <xf numFmtId="0" fontId="49" fillId="2" borderId="27" xfId="10" applyFont="1" applyFill="1" applyBorder="1"/>
    <xf numFmtId="0" fontId="30" fillId="2" borderId="33" xfId="10" applyFont="1" applyFill="1" applyBorder="1" applyAlignment="1">
      <alignment horizontal="center"/>
    </xf>
    <xf numFmtId="0" fontId="30" fillId="2" borderId="34" xfId="10" applyFont="1" applyFill="1" applyBorder="1" applyAlignment="1">
      <alignment horizontal="center"/>
    </xf>
    <xf numFmtId="0" fontId="30" fillId="2" borderId="35" xfId="10" applyFont="1" applyFill="1" applyBorder="1" applyAlignment="1">
      <alignment horizontal="center"/>
    </xf>
    <xf numFmtId="0" fontId="71" fillId="0" borderId="0" xfId="12" applyFont="1" applyAlignment="1">
      <alignment horizontal="center" wrapText="1"/>
    </xf>
    <xf numFmtId="0" fontId="72" fillId="0" borderId="0" xfId="1" applyFont="1" applyAlignment="1">
      <alignment horizontal="center"/>
    </xf>
    <xf numFmtId="165" fontId="72" fillId="0" borderId="10" xfId="1" applyNumberFormat="1" applyFont="1" applyBorder="1" applyAlignment="1">
      <alignment horizontal="left"/>
    </xf>
    <xf numFmtId="0" fontId="10" fillId="0" borderId="0" xfId="5" applyFont="1" applyAlignment="1">
      <alignment horizontal="left"/>
    </xf>
    <xf numFmtId="0" fontId="6" fillId="0" borderId="0" xfId="5" applyAlignment="1">
      <alignment horizontal="left"/>
    </xf>
    <xf numFmtId="0" fontId="26" fillId="0" borderId="1" xfId="5" applyFont="1" applyBorder="1" applyAlignment="1">
      <alignment horizontal="center" vertical="center" wrapText="1"/>
    </xf>
    <xf numFmtId="0" fontId="22" fillId="0" borderId="0" xfId="5" applyFont="1" applyAlignment="1">
      <alignment horizontal="right"/>
    </xf>
    <xf numFmtId="0" fontId="10" fillId="0" borderId="3" xfId="5" quotePrefix="1" applyFont="1" applyBorder="1" applyAlignment="1">
      <alignment horizontal="center"/>
    </xf>
    <xf numFmtId="0" fontId="74" fillId="0" borderId="1" xfId="5" applyFont="1" applyBorder="1" applyAlignment="1">
      <alignment horizontal="center" wrapText="1"/>
    </xf>
    <xf numFmtId="0" fontId="74" fillId="0" borderId="1" xfId="5" applyFont="1" applyBorder="1" applyAlignment="1">
      <alignment horizontal="center"/>
    </xf>
    <xf numFmtId="0" fontId="12" fillId="0" borderId="3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/>
    </xf>
    <xf numFmtId="0" fontId="11" fillId="0" borderId="15" xfId="5" applyFont="1" applyBorder="1" applyAlignment="1">
      <alignment horizontal="center"/>
    </xf>
    <xf numFmtId="0" fontId="10" fillId="0" borderId="15" xfId="5" applyFont="1" applyBorder="1"/>
    <xf numFmtId="0" fontId="10" fillId="0" borderId="0" xfId="5" applyFont="1" applyAlignment="1">
      <alignment horizontal="right"/>
    </xf>
    <xf numFmtId="0" fontId="15" fillId="0" borderId="1" xfId="5" applyFont="1" applyBorder="1" applyAlignment="1">
      <alignment vertical="center" wrapText="1"/>
    </xf>
    <xf numFmtId="0" fontId="72" fillId="0" borderId="0" xfId="1" applyFont="1" applyAlignment="1">
      <alignment horizontal="left"/>
    </xf>
    <xf numFmtId="0" fontId="29" fillId="0" borderId="3" xfId="5" applyFont="1" applyBorder="1" applyAlignment="1">
      <alignment horizontal="center"/>
    </xf>
    <xf numFmtId="0" fontId="22" fillId="0" borderId="0" xfId="5" applyFont="1" applyAlignment="1">
      <alignment horizontal="center"/>
    </xf>
    <xf numFmtId="0" fontId="29" fillId="0" borderId="3" xfId="5" applyFont="1" applyBorder="1" applyAlignment="1">
      <alignment horizontal="center" wrapText="1"/>
    </xf>
    <xf numFmtId="0" fontId="29" fillId="0" borderId="12" xfId="5" applyFont="1" applyBorder="1" applyAlignment="1">
      <alignment horizontal="center"/>
    </xf>
    <xf numFmtId="0" fontId="25" fillId="0" borderId="8" xfId="5" applyFont="1" applyBorder="1" applyAlignment="1">
      <alignment horizontal="center"/>
    </xf>
    <xf numFmtId="0" fontId="25" fillId="0" borderId="15" xfId="5" applyFont="1" applyBorder="1" applyAlignment="1">
      <alignment horizontal="center"/>
    </xf>
    <xf numFmtId="0" fontId="3" fillId="0" borderId="0" xfId="5" applyFont="1" applyAlignment="1">
      <alignment horizontal="left"/>
    </xf>
    <xf numFmtId="3" fontId="15" fillId="2" borderId="1" xfId="5" applyNumberFormat="1" applyFont="1" applyFill="1" applyBorder="1" applyAlignment="1">
      <alignment horizontal="right" vertical="center"/>
    </xf>
    <xf numFmtId="3" fontId="75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/>
    </xf>
    <xf numFmtId="3" fontId="30" fillId="0" borderId="1" xfId="5" applyNumberFormat="1" applyFont="1" applyBorder="1"/>
    <xf numFmtId="3" fontId="76" fillId="0" borderId="1" xfId="5" applyNumberFormat="1" applyFont="1" applyBorder="1" applyAlignment="1">
      <alignment horizontal="center" vertical="center" wrapText="1"/>
    </xf>
    <xf numFmtId="0" fontId="23" fillId="0" borderId="1" xfId="5" applyFont="1" applyBorder="1" applyAlignment="1">
      <alignment vertical="center" wrapText="1"/>
    </xf>
    <xf numFmtId="3" fontId="14" fillId="0" borderId="1" xfId="1" applyNumberFormat="1" applyFont="1" applyBorder="1" applyAlignment="1">
      <alignment horizontal="center" vertical="center" wrapText="1"/>
    </xf>
    <xf numFmtId="0" fontId="15" fillId="0" borderId="1" xfId="1" quotePrefix="1" applyFont="1" applyBorder="1" applyAlignment="1">
      <alignment vertical="center"/>
    </xf>
    <xf numFmtId="0" fontId="30" fillId="0" borderId="14" xfId="10" applyFont="1" applyBorder="1" applyAlignment="1">
      <alignment horizontal="center"/>
    </xf>
    <xf numFmtId="3" fontId="16" fillId="0" borderId="31" xfId="14" applyNumberFormat="1" applyFont="1" applyBorder="1" applyAlignment="1">
      <alignment horizontal="center" wrapText="1"/>
    </xf>
    <xf numFmtId="0" fontId="30" fillId="0" borderId="1" xfId="14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/>
    </xf>
    <xf numFmtId="0" fontId="16" fillId="0" borderId="1" xfId="14" applyFont="1" applyBorder="1" applyAlignment="1">
      <alignment horizontal="left" wrapText="1"/>
    </xf>
    <xf numFmtId="3" fontId="16" fillId="0" borderId="1" xfId="15" applyNumberFormat="1" applyFont="1" applyBorder="1" applyAlignment="1">
      <alignment horizontal="center"/>
    </xf>
    <xf numFmtId="3" fontId="16" fillId="0" borderId="4" xfId="10" applyNumberFormat="1" applyFont="1" applyBorder="1" applyAlignment="1">
      <alignment horizontal="right"/>
    </xf>
    <xf numFmtId="3" fontId="30" fillId="0" borderId="5" xfId="10" applyNumberFormat="1" applyFont="1" applyBorder="1"/>
    <xf numFmtId="3" fontId="16" fillId="0" borderId="16" xfId="10" applyNumberFormat="1" applyFont="1" applyBorder="1" applyAlignment="1">
      <alignment horizontal="right"/>
    </xf>
    <xf numFmtId="3" fontId="30" fillId="0" borderId="9" xfId="10" applyNumberFormat="1" applyFont="1" applyBorder="1"/>
    <xf numFmtId="3" fontId="16" fillId="0" borderId="9" xfId="10" applyNumberFormat="1" applyFont="1" applyBorder="1"/>
    <xf numFmtId="3" fontId="0" fillId="0" borderId="1" xfId="5" applyNumberFormat="1" applyFont="1" applyBorder="1" applyAlignment="1">
      <alignment horizontal="right" vertical="center" wrapText="1"/>
    </xf>
    <xf numFmtId="169" fontId="37" fillId="0" borderId="0" xfId="1" applyNumberFormat="1" applyFont="1"/>
    <xf numFmtId="0" fontId="19" fillId="0" borderId="0" xfId="5" applyFont="1" applyAlignment="1">
      <alignment horizontal="center" vertical="center"/>
    </xf>
    <xf numFmtId="0" fontId="30" fillId="2" borderId="16" xfId="10" applyFont="1" applyFill="1" applyBorder="1" applyAlignment="1">
      <alignment horizontal="center"/>
    </xf>
    <xf numFmtId="0" fontId="30" fillId="2" borderId="9" xfId="10" applyFont="1" applyFill="1" applyBorder="1" applyAlignment="1">
      <alignment horizontal="center"/>
    </xf>
    <xf numFmtId="0" fontId="30" fillId="2" borderId="17" xfId="10" applyFont="1" applyFill="1" applyBorder="1" applyAlignment="1">
      <alignment horizontal="center"/>
    </xf>
    <xf numFmtId="0" fontId="60" fillId="0" borderId="2" xfId="10" applyFont="1" applyBorder="1" applyAlignment="1">
      <alignment horizontal="center"/>
    </xf>
    <xf numFmtId="0" fontId="60" fillId="0" borderId="2" xfId="10" applyFont="1" applyBorder="1" applyAlignment="1">
      <alignment horizontal="right" vertical="center"/>
    </xf>
    <xf numFmtId="1" fontId="15" fillId="0" borderId="1" xfId="1" applyNumberFormat="1" applyFont="1" applyBorder="1" applyAlignment="1">
      <alignment vertical="center"/>
    </xf>
    <xf numFmtId="0" fontId="24" fillId="0" borderId="0" xfId="5" applyFont="1" applyAlignment="1">
      <alignment horizontal="center" vertical="center"/>
    </xf>
    <xf numFmtId="0" fontId="1" fillId="0" borderId="0" xfId="5" applyFont="1"/>
    <xf numFmtId="3" fontId="67" fillId="0" borderId="1" xfId="5" applyNumberFormat="1" applyFont="1" applyBorder="1" applyAlignment="1">
      <alignment horizontal="right" vertical="center"/>
    </xf>
    <xf numFmtId="0" fontId="16" fillId="2" borderId="22" xfId="10" applyFont="1" applyFill="1" applyBorder="1" applyAlignment="1">
      <alignment horizontal="left"/>
    </xf>
    <xf numFmtId="0" fontId="16" fillId="2" borderId="23" xfId="10" applyFont="1" applyFill="1" applyBorder="1" applyAlignment="1">
      <alignment horizontal="left"/>
    </xf>
    <xf numFmtId="165" fontId="10" fillId="0" borderId="0" xfId="5" applyNumberFormat="1" applyFont="1"/>
    <xf numFmtId="3" fontId="35" fillId="0" borderId="0" xfId="5" applyNumberFormat="1" applyFont="1"/>
    <xf numFmtId="3" fontId="22" fillId="0" borderId="1" xfId="5" applyNumberFormat="1" applyFont="1" applyBorder="1" applyAlignment="1">
      <alignment horizontal="right" vertical="center" wrapText="1"/>
    </xf>
    <xf numFmtId="3" fontId="10" fillId="2" borderId="1" xfId="5" applyNumberFormat="1" applyFont="1" applyFill="1" applyBorder="1" applyAlignment="1">
      <alignment horizontal="center" vertical="center" wrapText="1"/>
    </xf>
    <xf numFmtId="3" fontId="14" fillId="0" borderId="0" xfId="1" applyNumberFormat="1" applyFont="1"/>
    <xf numFmtId="0" fontId="22" fillId="0" borderId="0" xfId="5" applyFont="1" applyAlignment="1">
      <alignment horizontal="left"/>
    </xf>
    <xf numFmtId="0" fontId="8" fillId="0" borderId="8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0" fontId="29" fillId="0" borderId="3" xfId="5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165" fontId="72" fillId="0" borderId="0" xfId="1" applyNumberFormat="1" applyFont="1" applyAlignment="1">
      <alignment horizontal="left"/>
    </xf>
    <xf numFmtId="0" fontId="21" fillId="0" borderId="3" xfId="5" applyFont="1" applyBorder="1" applyAlignment="1">
      <alignment horizontal="center" vertical="center" wrapText="1"/>
    </xf>
    <xf numFmtId="0" fontId="22" fillId="2" borderId="1" xfId="5" applyFont="1" applyFill="1" applyBorder="1"/>
    <xf numFmtId="3" fontId="69" fillId="0" borderId="1" xfId="5" applyNumberFormat="1" applyFont="1" applyBorder="1"/>
    <xf numFmtId="0" fontId="14" fillId="0" borderId="1" xfId="5" applyFont="1" applyBorder="1" applyAlignment="1">
      <alignment vertical="center" wrapText="1"/>
    </xf>
    <xf numFmtId="0" fontId="30" fillId="0" borderId="36" xfId="10" applyFont="1" applyBorder="1" applyAlignment="1">
      <alignment horizontal="center"/>
    </xf>
    <xf numFmtId="0" fontId="30" fillId="0" borderId="7" xfId="10" applyFont="1" applyBorder="1" applyAlignment="1">
      <alignment horizontal="center"/>
    </xf>
    <xf numFmtId="3" fontId="30" fillId="0" borderId="10" xfId="10" applyNumberFormat="1" applyFont="1" applyBorder="1" applyAlignment="1">
      <alignment horizontal="center"/>
    </xf>
    <xf numFmtId="3" fontId="16" fillId="0" borderId="15" xfId="10" applyNumberFormat="1" applyFont="1" applyBorder="1" applyAlignment="1" applyProtection="1">
      <alignment horizontal="center" vertical="center" wrapText="1"/>
      <protection locked="0"/>
    </xf>
    <xf numFmtId="3" fontId="16" fillId="0" borderId="15" xfId="10" applyNumberFormat="1" applyFont="1" applyBorder="1" applyAlignment="1">
      <alignment horizontal="center" wrapText="1"/>
    </xf>
    <xf numFmtId="3" fontId="30" fillId="0" borderId="15" xfId="15" applyNumberFormat="1" applyFont="1" applyBorder="1" applyAlignment="1">
      <alignment horizontal="center" wrapText="1"/>
    </xf>
    <xf numFmtId="3" fontId="16" fillId="0" borderId="15" xfId="15" applyNumberFormat="1" applyFont="1" applyBorder="1" applyAlignment="1">
      <alignment horizontal="left" wrapText="1"/>
    </xf>
    <xf numFmtId="3" fontId="16" fillId="0" borderId="15" xfId="15" applyNumberFormat="1" applyFont="1" applyBorder="1" applyAlignment="1">
      <alignment horizontal="center" wrapText="1"/>
    </xf>
    <xf numFmtId="3" fontId="30" fillId="0" borderId="38" xfId="15" applyNumberFormat="1" applyFont="1" applyBorder="1" applyAlignment="1">
      <alignment horizontal="center" wrapText="1"/>
    </xf>
    <xf numFmtId="0" fontId="30" fillId="0" borderId="17" xfId="10" applyFont="1" applyBorder="1" applyAlignment="1">
      <alignment horizontal="center" vertical="center" wrapText="1"/>
    </xf>
    <xf numFmtId="0" fontId="30" fillId="2" borderId="36" xfId="10" applyFont="1" applyFill="1" applyBorder="1" applyAlignment="1">
      <alignment horizontal="center"/>
    </xf>
    <xf numFmtId="3" fontId="28" fillId="0" borderId="8" xfId="10" applyNumberFormat="1" applyFont="1" applyBorder="1" applyAlignment="1">
      <alignment horizontal="center"/>
    </xf>
    <xf numFmtId="3" fontId="31" fillId="0" borderId="8" xfId="10" applyNumberFormat="1" applyFont="1" applyBorder="1" applyAlignment="1">
      <alignment vertical="center"/>
    </xf>
    <xf numFmtId="3" fontId="28" fillId="0" borderId="38" xfId="10" applyNumberFormat="1" applyFont="1" applyBorder="1" applyAlignment="1">
      <alignment horizontal="right"/>
    </xf>
    <xf numFmtId="0" fontId="30" fillId="0" borderId="14" xfId="10" applyFont="1" applyBorder="1" applyAlignment="1">
      <alignment horizontal="center" vertical="center" wrapText="1"/>
    </xf>
    <xf numFmtId="0" fontId="30" fillId="2" borderId="39" xfId="10" applyFont="1" applyFill="1" applyBorder="1" applyAlignment="1">
      <alignment horizontal="center"/>
    </xf>
    <xf numFmtId="0" fontId="22" fillId="0" borderId="7" xfId="10" applyFont="1" applyBorder="1" applyAlignment="1">
      <alignment wrapText="1"/>
    </xf>
    <xf numFmtId="0" fontId="16" fillId="0" borderId="8" xfId="10" applyFont="1" applyBorder="1"/>
    <xf numFmtId="3" fontId="16" fillId="0" borderId="8" xfId="10" applyNumberFormat="1" applyFont="1" applyBorder="1"/>
    <xf numFmtId="3" fontId="30" fillId="0" borderId="8" xfId="10" applyNumberFormat="1" applyFont="1" applyBorder="1"/>
    <xf numFmtId="3" fontId="30" fillId="0" borderId="30" xfId="10" applyNumberFormat="1" applyFont="1" applyBorder="1"/>
    <xf numFmtId="3" fontId="16" fillId="0" borderId="36" xfId="10" applyNumberFormat="1" applyFont="1" applyBorder="1"/>
    <xf numFmtId="3" fontId="30" fillId="0" borderId="38" xfId="10" applyNumberFormat="1" applyFont="1" applyBorder="1"/>
    <xf numFmtId="0" fontId="22" fillId="0" borderId="32" xfId="10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right" vertical="center" wrapText="1"/>
    </xf>
    <xf numFmtId="0" fontId="43" fillId="0" borderId="1" xfId="12" applyBorder="1"/>
    <xf numFmtId="3" fontId="43" fillId="0" borderId="1" xfId="12" applyNumberFormat="1" applyBorder="1"/>
    <xf numFmtId="0" fontId="41" fillId="0" borderId="1" xfId="12" applyFont="1" applyBorder="1" applyAlignment="1">
      <alignment horizontal="center" vertical="center" wrapText="1"/>
    </xf>
    <xf numFmtId="165" fontId="15" fillId="0" borderId="40" xfId="12" applyNumberFormat="1" applyFont="1" applyBorder="1" applyAlignment="1">
      <alignment horizontal="center"/>
    </xf>
    <xf numFmtId="165" fontId="9" fillId="0" borderId="40" xfId="12" applyNumberFormat="1" applyFont="1" applyBorder="1" applyAlignment="1">
      <alignment horizontal="center" vertical="center" wrapText="1"/>
    </xf>
    <xf numFmtId="3" fontId="9" fillId="0" borderId="40" xfId="12" applyNumberFormat="1" applyFont="1" applyBorder="1"/>
    <xf numFmtId="3" fontId="15" fillId="0" borderId="7" xfId="12" applyNumberFormat="1" applyFont="1" applyBorder="1"/>
    <xf numFmtId="3" fontId="15" fillId="0" borderId="8" xfId="12" applyNumberFormat="1" applyFont="1" applyBorder="1"/>
    <xf numFmtId="3" fontId="9" fillId="0" borderId="8" xfId="12" applyNumberFormat="1" applyFont="1" applyBorder="1"/>
    <xf numFmtId="3" fontId="9" fillId="0" borderId="30" xfId="12" applyNumberFormat="1" applyFont="1" applyBorder="1"/>
    <xf numFmtId="3" fontId="43" fillId="0" borderId="3" xfId="12" applyNumberFormat="1" applyBorder="1"/>
    <xf numFmtId="0" fontId="41" fillId="0" borderId="6" xfId="12" applyFont="1" applyBorder="1" applyAlignment="1">
      <alignment horizontal="center" vertical="center"/>
    </xf>
    <xf numFmtId="0" fontId="41" fillId="0" borderId="1" xfId="12" applyFont="1" applyBorder="1" applyAlignment="1">
      <alignment horizontal="center" vertical="center"/>
    </xf>
    <xf numFmtId="0" fontId="41" fillId="0" borderId="6" xfId="12" applyFont="1" applyBorder="1" applyAlignment="1">
      <alignment horizontal="center" wrapText="1"/>
    </xf>
    <xf numFmtId="0" fontId="43" fillId="0" borderId="41" xfId="12" applyBorder="1"/>
    <xf numFmtId="170" fontId="43" fillId="0" borderId="1" xfId="12" applyNumberFormat="1" applyBorder="1"/>
    <xf numFmtId="3" fontId="16" fillId="0" borderId="14" xfId="10" applyNumberFormat="1" applyFont="1" applyBorder="1" applyAlignment="1">
      <alignment horizontal="right"/>
    </xf>
    <xf numFmtId="3" fontId="31" fillId="0" borderId="14" xfId="10" applyNumberFormat="1" applyFont="1" applyBorder="1" applyAlignment="1">
      <alignment vertical="center"/>
    </xf>
    <xf numFmtId="3" fontId="31" fillId="0" borderId="42" xfId="10" applyNumberFormat="1" applyFont="1" applyBorder="1" applyAlignment="1">
      <alignment vertical="center"/>
    </xf>
    <xf numFmtId="3" fontId="28" fillId="0" borderId="19" xfId="10" applyNumberFormat="1" applyFont="1" applyBorder="1" applyAlignment="1">
      <alignment horizontal="right"/>
    </xf>
    <xf numFmtId="3" fontId="16" fillId="0" borderId="42" xfId="10" applyNumberFormat="1" applyFont="1" applyBorder="1" applyAlignment="1">
      <alignment horizontal="right"/>
    </xf>
    <xf numFmtId="3" fontId="16" fillId="0" borderId="32" xfId="10" applyNumberFormat="1" applyFont="1" applyBorder="1" applyAlignment="1">
      <alignment horizontal="right"/>
    </xf>
    <xf numFmtId="3" fontId="16" fillId="0" borderId="15" xfId="10" applyNumberFormat="1" applyFont="1" applyBorder="1" applyAlignment="1" applyProtection="1">
      <alignment horizontal="center" wrapText="1"/>
      <protection locked="0"/>
    </xf>
    <xf numFmtId="3" fontId="30" fillId="0" borderId="14" xfId="15" applyNumberFormat="1" applyFont="1" applyBorder="1" applyAlignment="1">
      <alignment horizontal="right" wrapText="1"/>
    </xf>
    <xf numFmtId="3" fontId="30" fillId="0" borderId="19" xfId="15" applyNumberFormat="1" applyFont="1" applyBorder="1" applyAlignment="1">
      <alignment horizontal="right" wrapText="1"/>
    </xf>
    <xf numFmtId="0" fontId="16" fillId="0" borderId="14" xfId="10" applyFont="1" applyBorder="1"/>
    <xf numFmtId="0" fontId="30" fillId="0" borderId="14" xfId="10" applyFont="1" applyBorder="1"/>
    <xf numFmtId="0" fontId="30" fillId="0" borderId="19" xfId="10" applyFont="1" applyBorder="1"/>
    <xf numFmtId="0" fontId="16" fillId="0" borderId="32" xfId="10" applyFont="1" applyBorder="1"/>
    <xf numFmtId="4" fontId="52" fillId="0" borderId="0" xfId="10" applyNumberFormat="1" applyFont="1" applyAlignment="1">
      <alignment horizontal="left"/>
    </xf>
    <xf numFmtId="49" fontId="9" fillId="0" borderId="0" xfId="12" applyNumberFormat="1" applyFont="1" applyAlignment="1">
      <alignment horizontal="center"/>
    </xf>
    <xf numFmtId="49" fontId="9" fillId="0" borderId="0" xfId="12" applyNumberFormat="1" applyFont="1" applyAlignment="1">
      <alignment horizontal="center" vertical="center"/>
    </xf>
    <xf numFmtId="0" fontId="46" fillId="0" borderId="0" xfId="12" applyFont="1" applyAlignment="1">
      <alignment horizontal="left"/>
    </xf>
    <xf numFmtId="0" fontId="71" fillId="0" borderId="0" xfId="12" applyFont="1" applyAlignment="1">
      <alignment horizontal="center" vertical="center" wrapText="1"/>
    </xf>
    <xf numFmtId="0" fontId="43" fillId="0" borderId="0" xfId="12" applyAlignment="1">
      <alignment horizontal="right" wrapText="1"/>
    </xf>
    <xf numFmtId="165" fontId="14" fillId="0" borderId="8" xfId="1" applyNumberFormat="1" applyFont="1" applyBorder="1" applyAlignment="1">
      <alignment horizontal="center" vertical="center" wrapText="1"/>
    </xf>
    <xf numFmtId="165" fontId="14" fillId="0" borderId="15" xfId="1" applyNumberFormat="1" applyFont="1" applyBorder="1" applyAlignment="1">
      <alignment horizontal="center" vertical="center" wrapText="1"/>
    </xf>
    <xf numFmtId="165" fontId="14" fillId="0" borderId="11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4" fillId="0" borderId="8" xfId="1" applyNumberFormat="1" applyFont="1" applyBorder="1" applyAlignment="1">
      <alignment vertical="center" wrapText="1"/>
    </xf>
    <xf numFmtId="165" fontId="14" fillId="0" borderId="15" xfId="1" applyNumberFormat="1" applyFont="1" applyBorder="1" applyAlignment="1">
      <alignment vertical="center" wrapText="1"/>
    </xf>
    <xf numFmtId="165" fontId="14" fillId="0" borderId="11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21" fillId="0" borderId="8" xfId="5" applyFont="1" applyBorder="1" applyAlignment="1">
      <alignment horizontal="center" wrapText="1"/>
    </xf>
    <xf numFmtId="0" fontId="21" fillId="0" borderId="15" xfId="5" applyFont="1" applyBorder="1" applyAlignment="1">
      <alignment horizontal="center" wrapText="1"/>
    </xf>
    <xf numFmtId="0" fontId="21" fillId="0" borderId="11" xfId="5" applyFont="1" applyBorder="1" applyAlignment="1">
      <alignment horizontal="center" wrapText="1"/>
    </xf>
    <xf numFmtId="0" fontId="21" fillId="0" borderId="8" xfId="5" applyFont="1" applyBorder="1" applyAlignment="1">
      <alignment horizontal="center" vertical="center" wrapText="1"/>
    </xf>
    <xf numFmtId="0" fontId="21" fillId="0" borderId="15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10" fillId="0" borderId="0" xfId="5" applyFont="1" applyAlignment="1">
      <alignment horizontal="right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15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/>
    </xf>
    <xf numFmtId="0" fontId="19" fillId="0" borderId="15" xfId="5" applyFont="1" applyBorder="1" applyAlignment="1">
      <alignment horizontal="center"/>
    </xf>
    <xf numFmtId="0" fontId="19" fillId="0" borderId="11" xfId="5" applyFont="1" applyBorder="1" applyAlignment="1">
      <alignment horizontal="center"/>
    </xf>
    <xf numFmtId="0" fontId="2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0" xfId="5" applyAlignment="1">
      <alignment horizontal="left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right"/>
    </xf>
    <xf numFmtId="0" fontId="29" fillId="0" borderId="7" xfId="5" applyFont="1" applyBorder="1" applyAlignment="1">
      <alignment horizontal="center"/>
    </xf>
    <xf numFmtId="0" fontId="29" fillId="0" borderId="10" xfId="5" applyFont="1" applyBorder="1" applyAlignment="1">
      <alignment horizontal="center"/>
    </xf>
    <xf numFmtId="0" fontId="29" fillId="0" borderId="12" xfId="5" applyFont="1" applyBorder="1" applyAlignment="1">
      <alignment horizontal="center"/>
    </xf>
    <xf numFmtId="0" fontId="26" fillId="0" borderId="8" xfId="5" applyFont="1" applyBorder="1" applyAlignment="1">
      <alignment horizontal="center" vertical="center" wrapText="1"/>
    </xf>
    <xf numFmtId="0" fontId="26" fillId="0" borderId="15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0" fontId="29" fillId="0" borderId="8" xfId="5" applyFont="1" applyBorder="1" applyAlignment="1">
      <alignment horizontal="center" vertical="center" wrapText="1"/>
    </xf>
    <xf numFmtId="0" fontId="29" fillId="0" borderId="15" xfId="5" applyFont="1" applyBorder="1" applyAlignment="1">
      <alignment horizontal="center" vertical="center" wrapText="1"/>
    </xf>
    <xf numFmtId="0" fontId="29" fillId="0" borderId="11" xfId="5" applyFont="1" applyBorder="1" applyAlignment="1">
      <alignment horizontal="center" vertical="center" wrapText="1"/>
    </xf>
    <xf numFmtId="0" fontId="22" fillId="0" borderId="10" xfId="5" applyFont="1" applyBorder="1"/>
    <xf numFmtId="0" fontId="12" fillId="0" borderId="15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14" fillId="0" borderId="15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9" fillId="0" borderId="8" xfId="5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/>
    </xf>
    <xf numFmtId="0" fontId="29" fillId="0" borderId="11" xfId="5" applyFont="1" applyBorder="1" applyAlignment="1">
      <alignment horizontal="center" vertical="center"/>
    </xf>
    <xf numFmtId="0" fontId="29" fillId="0" borderId="8" xfId="5" applyFont="1" applyBorder="1" applyAlignment="1">
      <alignment horizontal="center" wrapText="1"/>
    </xf>
    <xf numFmtId="0" fontId="29" fillId="0" borderId="15" xfId="5" applyFont="1" applyBorder="1" applyAlignment="1">
      <alignment horizontal="center" wrapText="1"/>
    </xf>
    <xf numFmtId="0" fontId="29" fillId="0" borderId="11" xfId="5" applyFont="1" applyBorder="1" applyAlignment="1">
      <alignment horizontal="center" wrapText="1"/>
    </xf>
    <xf numFmtId="3" fontId="16" fillId="0" borderId="30" xfId="10" applyNumberFormat="1" applyFont="1" applyBorder="1" applyAlignment="1">
      <alignment horizontal="center"/>
    </xf>
    <xf numFmtId="3" fontId="16" fillId="0" borderId="29" xfId="10" applyNumberFormat="1" applyFont="1" applyBorder="1" applyAlignment="1">
      <alignment horizontal="center"/>
    </xf>
    <xf numFmtId="3" fontId="16" fillId="0" borderId="28" xfId="10" applyNumberFormat="1" applyFont="1" applyBorder="1" applyAlignment="1">
      <alignment horizontal="center"/>
    </xf>
    <xf numFmtId="3" fontId="16" fillId="0" borderId="7" xfId="10" applyNumberFormat="1" applyFont="1" applyBorder="1" applyAlignment="1">
      <alignment horizontal="center"/>
    </xf>
    <xf numFmtId="3" fontId="16" fillId="0" borderId="10" xfId="10" applyNumberFormat="1" applyFont="1" applyBorder="1" applyAlignment="1">
      <alignment horizontal="center"/>
    </xf>
    <xf numFmtId="3" fontId="16" fillId="0" borderId="12" xfId="10" applyNumberFormat="1" applyFont="1" applyBorder="1" applyAlignment="1">
      <alignment horizontal="center"/>
    </xf>
    <xf numFmtId="0" fontId="16" fillId="2" borderId="27" xfId="10" applyFont="1" applyFill="1" applyBorder="1" applyAlignment="1">
      <alignment horizontal="right"/>
    </xf>
    <xf numFmtId="3" fontId="16" fillId="0" borderId="16" xfId="10" applyNumberFormat="1" applyFont="1" applyBorder="1" applyAlignment="1">
      <alignment vertical="center"/>
    </xf>
    <xf numFmtId="3" fontId="16" fillId="0" borderId="2" xfId="10" applyNumberFormat="1" applyFont="1" applyBorder="1" applyAlignment="1">
      <alignment vertical="center"/>
    </xf>
    <xf numFmtId="3" fontId="30" fillId="0" borderId="9" xfId="10" applyNumberFormat="1" applyFont="1" applyBorder="1" applyAlignment="1">
      <alignment horizontal="center"/>
    </xf>
    <xf numFmtId="3" fontId="30" fillId="0" borderId="17" xfId="10" applyNumberFormat="1" applyFont="1" applyBorder="1" applyAlignment="1">
      <alignment horizontal="center"/>
    </xf>
    <xf numFmtId="0" fontId="16" fillId="2" borderId="21" xfId="10" applyFont="1" applyFill="1" applyBorder="1" applyAlignment="1">
      <alignment horizontal="center" wrapText="1"/>
    </xf>
    <xf numFmtId="0" fontId="16" fillId="2" borderId="0" xfId="10" applyFont="1" applyFill="1" applyAlignment="1">
      <alignment horizontal="center" wrapText="1"/>
    </xf>
    <xf numFmtId="0" fontId="50" fillId="2" borderId="24" xfId="10" applyFont="1" applyFill="1" applyBorder="1" applyAlignment="1">
      <alignment horizontal="center" wrapText="1"/>
    </xf>
    <xf numFmtId="0" fontId="50" fillId="2" borderId="25" xfId="10" applyFont="1" applyFill="1" applyBorder="1" applyAlignment="1">
      <alignment horizontal="center" wrapText="1"/>
    </xf>
    <xf numFmtId="0" fontId="16" fillId="2" borderId="22" xfId="10" applyFont="1" applyFill="1" applyBorder="1" applyAlignment="1">
      <alignment horizontal="right" wrapText="1"/>
    </xf>
    <xf numFmtId="0" fontId="16" fillId="2" borderId="23" xfId="10" applyFont="1" applyFill="1" applyBorder="1" applyAlignment="1">
      <alignment horizontal="right" wrapText="1"/>
    </xf>
    <xf numFmtId="0" fontId="16" fillId="2" borderId="22" xfId="10" applyFont="1" applyFill="1" applyBorder="1" applyAlignment="1">
      <alignment horizontal="center" wrapText="1"/>
    </xf>
    <xf numFmtId="0" fontId="16" fillId="2" borderId="23" xfId="10" applyFont="1" applyFill="1" applyBorder="1" applyAlignment="1">
      <alignment horizontal="center" wrapText="1"/>
    </xf>
  </cellXfs>
  <cellStyles count="19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7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8" xr:uid="{00000000-0005-0000-0000-00000D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opLeftCell="A28" zoomScale="84" zoomScaleNormal="84" workbookViewId="0">
      <selection activeCell="E73" sqref="E73"/>
    </sheetView>
  </sheetViews>
  <sheetFormatPr defaultColWidth="9.140625" defaultRowHeight="12.75" x14ac:dyDescent="0.2"/>
  <cols>
    <col min="1" max="1" width="9.140625" style="140"/>
    <col min="2" max="2" width="52.42578125" style="140" customWidth="1"/>
    <col min="3" max="3" width="18.5703125" style="140" customWidth="1"/>
    <col min="4" max="4" width="17.42578125" style="140" customWidth="1"/>
    <col min="5" max="5" width="12.85546875" style="140" bestFit="1" customWidth="1"/>
    <col min="6" max="6" width="11.140625" style="140" bestFit="1" customWidth="1"/>
    <col min="7" max="7" width="13.7109375" style="140" customWidth="1"/>
    <col min="8" max="8" width="6" style="140" customWidth="1"/>
    <col min="9" max="9" width="4.140625" style="140" customWidth="1"/>
    <col min="10" max="10" width="4.7109375" style="140" customWidth="1"/>
    <col min="11" max="11" width="3.85546875" style="140" customWidth="1"/>
    <col min="12" max="12" width="4.85546875" style="140" customWidth="1"/>
    <col min="13" max="16384" width="9.140625" style="140"/>
  </cols>
  <sheetData>
    <row r="1" spans="1:14" ht="45.75" customHeight="1" x14ac:dyDescent="0.2">
      <c r="B1" s="444" t="s">
        <v>375</v>
      </c>
      <c r="C1" s="444"/>
      <c r="D1" s="444"/>
    </row>
    <row r="2" spans="1:14" ht="63" customHeight="1" x14ac:dyDescent="0.25">
      <c r="A2" s="184"/>
      <c r="B2" s="443" t="s">
        <v>376</v>
      </c>
      <c r="C2" s="443"/>
      <c r="D2" s="443"/>
      <c r="E2" s="313"/>
      <c r="F2" s="313"/>
      <c r="G2" s="183"/>
      <c r="H2" s="183"/>
      <c r="I2" s="183"/>
      <c r="J2" s="183"/>
      <c r="K2" s="183"/>
      <c r="L2" s="183"/>
      <c r="M2" s="183"/>
      <c r="N2" s="183"/>
    </row>
    <row r="4" spans="1:14" ht="15" x14ac:dyDescent="0.25">
      <c r="A4" s="442" t="s">
        <v>353</v>
      </c>
      <c r="B4" s="442"/>
      <c r="C4" s="442"/>
      <c r="D4" s="442"/>
    </row>
    <row r="5" spans="1:14" x14ac:dyDescent="0.2">
      <c r="D5" s="306" t="s">
        <v>262</v>
      </c>
    </row>
    <row r="6" spans="1:14" x14ac:dyDescent="0.2">
      <c r="A6" s="182" t="s">
        <v>52</v>
      </c>
      <c r="B6" s="178" t="s">
        <v>60</v>
      </c>
      <c r="C6" s="181" t="s">
        <v>53</v>
      </c>
      <c r="D6" s="180" t="s">
        <v>54</v>
      </c>
      <c r="E6" s="422" t="s">
        <v>55</v>
      </c>
    </row>
    <row r="7" spans="1:14" ht="25.5" x14ac:dyDescent="0.2">
      <c r="A7" s="179" t="s">
        <v>2</v>
      </c>
      <c r="B7" s="178" t="s">
        <v>0</v>
      </c>
      <c r="C7" s="177" t="s">
        <v>377</v>
      </c>
      <c r="D7" s="177" t="s">
        <v>378</v>
      </c>
      <c r="E7" s="412" t="s">
        <v>416</v>
      </c>
    </row>
    <row r="8" spans="1:14" x14ac:dyDescent="0.2">
      <c r="A8" s="143" t="s">
        <v>1</v>
      </c>
      <c r="B8" s="164" t="s">
        <v>5</v>
      </c>
      <c r="C8" s="163">
        <f>SUM(C9:C15)</f>
        <v>635095589</v>
      </c>
      <c r="D8" s="163">
        <f>SUM(D9:D15)</f>
        <v>692992982</v>
      </c>
      <c r="E8" s="163">
        <f>SUM(E9:E15)</f>
        <v>369816327</v>
      </c>
    </row>
    <row r="9" spans="1:14" ht="21" customHeight="1" x14ac:dyDescent="0.2">
      <c r="A9" s="143" t="s">
        <v>3</v>
      </c>
      <c r="B9" s="176" t="s">
        <v>261</v>
      </c>
      <c r="C9" s="162">
        <v>174521881</v>
      </c>
      <c r="D9" s="162">
        <v>180670681</v>
      </c>
      <c r="E9" s="411">
        <v>93948748</v>
      </c>
    </row>
    <row r="10" spans="1:14" x14ac:dyDescent="0.2">
      <c r="A10" s="143" t="s">
        <v>4</v>
      </c>
      <c r="B10" s="161" t="s">
        <v>260</v>
      </c>
      <c r="C10" s="162">
        <v>126243730</v>
      </c>
      <c r="D10" s="162">
        <v>142001823</v>
      </c>
      <c r="E10" s="411">
        <v>73840950</v>
      </c>
    </row>
    <row r="11" spans="1:14" x14ac:dyDescent="0.2">
      <c r="A11" s="143" t="s">
        <v>6</v>
      </c>
      <c r="B11" s="161" t="s">
        <v>259</v>
      </c>
      <c r="C11" s="162">
        <v>259893967</v>
      </c>
      <c r="D11" s="162">
        <v>292501392</v>
      </c>
      <c r="E11" s="411">
        <v>160940419</v>
      </c>
    </row>
    <row r="12" spans="1:14" x14ac:dyDescent="0.2">
      <c r="A12" s="143" t="s">
        <v>8</v>
      </c>
      <c r="B12" s="161" t="s">
        <v>258</v>
      </c>
      <c r="C12" s="162">
        <v>62393573</v>
      </c>
      <c r="D12" s="162">
        <v>64484387</v>
      </c>
      <c r="E12" s="411">
        <v>33531882</v>
      </c>
    </row>
    <row r="13" spans="1:14" x14ac:dyDescent="0.2">
      <c r="A13" s="143" t="s">
        <v>19</v>
      </c>
      <c r="B13" s="161" t="s">
        <v>257</v>
      </c>
      <c r="C13" s="162">
        <v>12042438</v>
      </c>
      <c r="D13" s="162">
        <v>12042438</v>
      </c>
      <c r="E13" s="411">
        <v>6262067</v>
      </c>
    </row>
    <row r="14" spans="1:14" x14ac:dyDescent="0.2">
      <c r="A14" s="143" t="s">
        <v>21</v>
      </c>
      <c r="B14" s="161" t="s">
        <v>256</v>
      </c>
      <c r="C14" s="162"/>
      <c r="D14" s="162"/>
      <c r="E14" s="411"/>
    </row>
    <row r="15" spans="1:14" x14ac:dyDescent="0.2">
      <c r="A15" s="143" t="s">
        <v>22</v>
      </c>
      <c r="B15" s="161" t="s">
        <v>422</v>
      </c>
      <c r="C15" s="162"/>
      <c r="D15" s="162">
        <v>1292261</v>
      </c>
      <c r="E15" s="411">
        <v>1292261</v>
      </c>
    </row>
    <row r="16" spans="1:14" x14ac:dyDescent="0.2">
      <c r="A16" s="143" t="s">
        <v>24</v>
      </c>
      <c r="B16" s="164" t="s">
        <v>11</v>
      </c>
      <c r="C16" s="163">
        <f>SUM(C17:C18)</f>
        <v>95455969</v>
      </c>
      <c r="D16" s="163">
        <f>SUM(D17:D18)</f>
        <v>95455969</v>
      </c>
      <c r="E16" s="163">
        <f>SUM(E17:E18)</f>
        <v>45894485</v>
      </c>
      <c r="F16" s="141"/>
    </row>
    <row r="17" spans="1:5" x14ac:dyDescent="0.2">
      <c r="A17" s="143" t="s">
        <v>25</v>
      </c>
      <c r="B17" s="161" t="s">
        <v>9</v>
      </c>
      <c r="C17" s="162"/>
      <c r="D17" s="162"/>
      <c r="E17" s="410"/>
    </row>
    <row r="18" spans="1:5" x14ac:dyDescent="0.2">
      <c r="A18" s="143" t="s">
        <v>26</v>
      </c>
      <c r="B18" s="161" t="s">
        <v>187</v>
      </c>
      <c r="C18" s="162">
        <f>'2.melléklet.Önkormányzat.és int'!Q44</f>
        <v>95455969</v>
      </c>
      <c r="D18" s="162">
        <f>'2.melléklet.Önkormányzat.és int'!R44</f>
        <v>95455969</v>
      </c>
      <c r="E18" s="411">
        <f>'2.melléklet.Önkormányzat.és int'!S44</f>
        <v>45894485</v>
      </c>
    </row>
    <row r="19" spans="1:5" x14ac:dyDescent="0.2">
      <c r="A19" s="143" t="s">
        <v>28</v>
      </c>
      <c r="B19" s="161" t="s">
        <v>10</v>
      </c>
      <c r="C19" s="162"/>
      <c r="D19" s="162"/>
      <c r="E19" s="410"/>
    </row>
    <row r="20" spans="1:5" x14ac:dyDescent="0.2">
      <c r="A20" s="143" t="s">
        <v>29</v>
      </c>
      <c r="B20" s="164" t="s">
        <v>14</v>
      </c>
      <c r="C20" s="163">
        <f>SUM(C21:C22)</f>
        <v>2082429878</v>
      </c>
      <c r="D20" s="163">
        <f>SUM(D21:D22)</f>
        <v>2082429878</v>
      </c>
      <c r="E20" s="163">
        <f>SUM(E21:E22)</f>
        <v>0</v>
      </c>
    </row>
    <row r="21" spans="1:5" x14ac:dyDescent="0.2">
      <c r="A21" s="143" t="s">
        <v>32</v>
      </c>
      <c r="B21" s="161" t="s">
        <v>328</v>
      </c>
      <c r="C21" s="162">
        <f>'2.melléklet.Önkormányzat.és int'!N44</f>
        <v>0</v>
      </c>
      <c r="D21" s="162">
        <f>'2.melléklet.Önkormányzat.és int'!O44</f>
        <v>0</v>
      </c>
      <c r="E21" s="162">
        <f>'2.melléklet.Önkormányzat.és int'!P44</f>
        <v>0</v>
      </c>
    </row>
    <row r="22" spans="1:5" x14ac:dyDescent="0.2">
      <c r="A22" s="143" t="s">
        <v>34</v>
      </c>
      <c r="B22" s="161" t="s">
        <v>12</v>
      </c>
      <c r="C22" s="162">
        <f>'2.melléklet.Önkormányzat.és int'!T25</f>
        <v>2082429878</v>
      </c>
      <c r="D22" s="162">
        <f>'2.melléklet.Önkormányzat.és int'!U44</f>
        <v>2082429878</v>
      </c>
      <c r="E22" s="162">
        <f>'2.melléklet.Önkormányzat.és int'!V44</f>
        <v>0</v>
      </c>
    </row>
    <row r="23" spans="1:5" x14ac:dyDescent="0.2">
      <c r="A23" s="143" t="s">
        <v>56</v>
      </c>
      <c r="B23" s="161" t="s">
        <v>13</v>
      </c>
      <c r="C23" s="162">
        <f>'2.melléklet.Önkormányzat.és int'!T44</f>
        <v>2082429878</v>
      </c>
      <c r="D23" s="162">
        <f>D22</f>
        <v>2082429878</v>
      </c>
      <c r="E23" s="162">
        <f>E22</f>
        <v>0</v>
      </c>
    </row>
    <row r="24" spans="1:5" x14ac:dyDescent="0.2">
      <c r="A24" s="143" t="s">
        <v>36</v>
      </c>
      <c r="B24" s="164" t="s">
        <v>7</v>
      </c>
      <c r="C24" s="163">
        <f>C25+C28+C29+C26+C27</f>
        <v>135717500</v>
      </c>
      <c r="D24" s="163">
        <f>D25+D28+D29+D26+D27</f>
        <v>135717500</v>
      </c>
      <c r="E24" s="163">
        <f>E25+E28+E29+E26+E27</f>
        <v>74431900</v>
      </c>
    </row>
    <row r="25" spans="1:5" x14ac:dyDescent="0.2">
      <c r="A25" s="143" t="s">
        <v>38</v>
      </c>
      <c r="B25" s="161" t="s">
        <v>15</v>
      </c>
      <c r="C25" s="162"/>
      <c r="D25" s="162"/>
      <c r="E25" s="410"/>
    </row>
    <row r="26" spans="1:5" x14ac:dyDescent="0.2">
      <c r="A26" s="143" t="s">
        <v>130</v>
      </c>
      <c r="B26" s="161" t="s">
        <v>313</v>
      </c>
      <c r="C26" s="162">
        <v>18500000</v>
      </c>
      <c r="D26" s="162">
        <f>C26</f>
        <v>18500000</v>
      </c>
      <c r="E26" s="425">
        <v>9198990</v>
      </c>
    </row>
    <row r="27" spans="1:5" x14ac:dyDescent="0.2">
      <c r="A27" s="143" t="s">
        <v>131</v>
      </c>
      <c r="B27" s="161" t="s">
        <v>16</v>
      </c>
      <c r="C27" s="162">
        <v>115317500</v>
      </c>
      <c r="D27" s="162">
        <f>C27</f>
        <v>115317500</v>
      </c>
      <c r="E27" s="425">
        <v>64635009</v>
      </c>
    </row>
    <row r="28" spans="1:5" x14ac:dyDescent="0.2">
      <c r="A28" s="143" t="s">
        <v>132</v>
      </c>
      <c r="B28" s="161" t="s">
        <v>360</v>
      </c>
      <c r="C28" s="162">
        <v>250000</v>
      </c>
      <c r="D28" s="162">
        <f>C28</f>
        <v>250000</v>
      </c>
      <c r="E28" s="425">
        <v>10000</v>
      </c>
    </row>
    <row r="29" spans="1:5" x14ac:dyDescent="0.2">
      <c r="A29" s="143" t="s">
        <v>133</v>
      </c>
      <c r="B29" s="161" t="s">
        <v>17</v>
      </c>
      <c r="C29" s="162">
        <v>1650000</v>
      </c>
      <c r="D29" s="162">
        <f>C29</f>
        <v>1650000</v>
      </c>
      <c r="E29" s="425">
        <v>587901</v>
      </c>
    </row>
    <row r="30" spans="1:5" x14ac:dyDescent="0.2">
      <c r="A30" s="143" t="s">
        <v>134</v>
      </c>
      <c r="B30" s="164" t="s">
        <v>18</v>
      </c>
      <c r="C30" s="163">
        <f ca="1">'2.melléklet.Önkormányzat.és int'!E39</f>
        <v>163529762</v>
      </c>
      <c r="D30" s="163">
        <f ca="1">'2.melléklet.Önkormányzat.és int'!F39</f>
        <v>167122920</v>
      </c>
      <c r="E30" s="163">
        <f ca="1">'2.melléklet.Önkormányzat.és int'!G39</f>
        <v>86294590</v>
      </c>
    </row>
    <row r="31" spans="1:5" x14ac:dyDescent="0.2">
      <c r="A31" s="143" t="s">
        <v>135</v>
      </c>
      <c r="B31" s="164" t="s">
        <v>20</v>
      </c>
      <c r="C31" s="163">
        <f>'2.melléklet.Önkormányzat.és int'!W44</f>
        <v>10887000</v>
      </c>
      <c r="D31" s="163">
        <f>'2.melléklet.Önkormányzat.és int'!X44</f>
        <v>10887000</v>
      </c>
      <c r="E31" s="163">
        <f>'2.melléklet.Önkormányzat.és int'!Y44+'2.melléklet.Önkormányzat.és int'!AB44</f>
        <v>4776361</v>
      </c>
    </row>
    <row r="32" spans="1:5" x14ac:dyDescent="0.2">
      <c r="A32" s="143" t="s">
        <v>136</v>
      </c>
      <c r="B32" s="164" t="s">
        <v>59</v>
      </c>
      <c r="C32" s="163">
        <f>'2.melléklet.Önkormányzat.és int'!AF44</f>
        <v>0</v>
      </c>
      <c r="D32" s="163">
        <f>'2.melléklet.Önkormányzat.és int'!AG44</f>
        <v>3099000</v>
      </c>
      <c r="E32" s="163">
        <f>'2.melléklet.Önkormányzat.és int'!AH44</f>
        <v>7494787</v>
      </c>
    </row>
    <row r="33" spans="1:7" x14ac:dyDescent="0.2">
      <c r="A33" s="143" t="s">
        <v>137</v>
      </c>
      <c r="B33" s="164" t="s">
        <v>23</v>
      </c>
      <c r="C33" s="163"/>
      <c r="D33" s="163"/>
      <c r="E33" s="410"/>
    </row>
    <row r="34" spans="1:7" x14ac:dyDescent="0.2">
      <c r="A34" s="143" t="s">
        <v>138</v>
      </c>
      <c r="B34" s="164" t="s">
        <v>51</v>
      </c>
      <c r="C34" s="163">
        <f ca="1">C8+C16+C20+C24+C30+C31+C32+C33</f>
        <v>3123115698</v>
      </c>
      <c r="D34" s="163">
        <f ca="1">D8+D16+D20+D24+D30+D31+D32+D33</f>
        <v>3187705249</v>
      </c>
      <c r="E34" s="163">
        <f ca="1">E8+E16+E20+E24+E30+E31+E32+E33</f>
        <v>588708450</v>
      </c>
    </row>
    <row r="35" spans="1:7" x14ac:dyDescent="0.2">
      <c r="A35" s="143" t="s">
        <v>139</v>
      </c>
      <c r="B35" s="164" t="s">
        <v>27</v>
      </c>
      <c r="C35" s="163"/>
      <c r="D35" s="163"/>
      <c r="E35" s="410"/>
      <c r="G35" s="141"/>
    </row>
    <row r="36" spans="1:7" x14ac:dyDescent="0.2">
      <c r="A36" s="143" t="s">
        <v>140</v>
      </c>
      <c r="B36" s="164" t="s">
        <v>125</v>
      </c>
      <c r="C36" s="163">
        <f ca="1">'2.melléklet.Önkormányzat.és int'!AI39</f>
        <v>265492490</v>
      </c>
      <c r="D36" s="163">
        <f ca="1">'2.melléklet.Önkormányzat.és int'!AJ39</f>
        <v>798593471</v>
      </c>
      <c r="E36" s="163">
        <f ca="1">'2.melléklet.Önkormányzat.és int'!AK39</f>
        <v>798593471</v>
      </c>
    </row>
    <row r="37" spans="1:7" x14ac:dyDescent="0.2">
      <c r="A37" s="143" t="s">
        <v>141</v>
      </c>
      <c r="B37" s="164" t="s">
        <v>30</v>
      </c>
      <c r="C37" s="163">
        <f>C38</f>
        <v>0</v>
      </c>
      <c r="D37" s="163">
        <v>0</v>
      </c>
      <c r="E37" s="410"/>
    </row>
    <row r="38" spans="1:7" x14ac:dyDescent="0.2">
      <c r="A38" s="143" t="s">
        <v>142</v>
      </c>
      <c r="B38" s="161" t="s">
        <v>31</v>
      </c>
      <c r="C38" s="162"/>
      <c r="D38" s="162">
        <v>350837</v>
      </c>
      <c r="E38" s="411">
        <v>350837</v>
      </c>
    </row>
    <row r="39" spans="1:7" x14ac:dyDescent="0.2">
      <c r="A39" s="143" t="s">
        <v>143</v>
      </c>
      <c r="B39" s="164" t="s">
        <v>33</v>
      </c>
      <c r="C39" s="163"/>
      <c r="D39" s="163"/>
      <c r="E39" s="410"/>
    </row>
    <row r="40" spans="1:7" x14ac:dyDescent="0.2">
      <c r="A40" s="143" t="s">
        <v>310</v>
      </c>
      <c r="B40" s="164" t="s">
        <v>361</v>
      </c>
      <c r="C40" s="163"/>
      <c r="D40" s="163"/>
      <c r="E40" s="410"/>
    </row>
    <row r="41" spans="1:7" x14ac:dyDescent="0.2">
      <c r="A41" s="143" t="s">
        <v>255</v>
      </c>
      <c r="B41" s="164" t="s">
        <v>35</v>
      </c>
      <c r="C41" s="163"/>
      <c r="D41" s="163"/>
      <c r="E41" s="410"/>
    </row>
    <row r="42" spans="1:7" x14ac:dyDescent="0.2">
      <c r="A42" s="143" t="s">
        <v>144</v>
      </c>
      <c r="B42" s="164" t="s">
        <v>37</v>
      </c>
      <c r="C42" s="163">
        <f ca="1">C35+C36+C37+C39+C40+C41+C38</f>
        <v>265492490</v>
      </c>
      <c r="D42" s="163">
        <f ca="1">D35+D36+D37+D39+D40+D41+D38</f>
        <v>798944308</v>
      </c>
      <c r="E42" s="163">
        <f ca="1">E35+E36+E37+E39+E40+E41+E38</f>
        <v>798944308</v>
      </c>
    </row>
    <row r="43" spans="1:7" ht="24.75" customHeight="1" x14ac:dyDescent="0.2">
      <c r="A43" s="143" t="s">
        <v>145</v>
      </c>
      <c r="B43" s="175" t="s">
        <v>368</v>
      </c>
      <c r="C43" s="163">
        <f ca="1">C34+C42</f>
        <v>3388608188</v>
      </c>
      <c r="D43" s="163">
        <f ca="1">D34+D42</f>
        <v>3986649557</v>
      </c>
      <c r="E43" s="163">
        <f ca="1">E34+E42</f>
        <v>1387652758</v>
      </c>
    </row>
    <row r="44" spans="1:7" x14ac:dyDescent="0.2">
      <c r="A44" s="174"/>
      <c r="B44" s="173"/>
      <c r="C44" s="172"/>
      <c r="D44" s="172"/>
    </row>
    <row r="45" spans="1:7" x14ac:dyDescent="0.2">
      <c r="A45" s="156"/>
      <c r="B45" s="150"/>
      <c r="C45" s="151"/>
      <c r="D45" s="151"/>
    </row>
    <row r="46" spans="1:7" ht="13.5" thickBot="1" x14ac:dyDescent="0.25">
      <c r="A46" s="440" t="s">
        <v>39</v>
      </c>
      <c r="B46" s="440"/>
      <c r="C46" s="440"/>
      <c r="D46" s="151"/>
    </row>
    <row r="47" spans="1:7" ht="13.5" thickBot="1" x14ac:dyDescent="0.25">
      <c r="A47" s="159" t="s">
        <v>52</v>
      </c>
      <c r="B47" s="167" t="s">
        <v>60</v>
      </c>
      <c r="C47" s="171" t="s">
        <v>53</v>
      </c>
      <c r="D47" s="413" t="s">
        <v>54</v>
      </c>
      <c r="E47" s="421" t="s">
        <v>55</v>
      </c>
    </row>
    <row r="48" spans="1:7" ht="26.25" thickBot="1" x14ac:dyDescent="0.25">
      <c r="A48" s="170" t="s">
        <v>2</v>
      </c>
      <c r="B48" s="169" t="s">
        <v>40</v>
      </c>
      <c r="C48" s="168" t="s">
        <v>377</v>
      </c>
      <c r="D48" s="414" t="s">
        <v>378</v>
      </c>
      <c r="E48" s="423" t="s">
        <v>416</v>
      </c>
    </row>
    <row r="49" spans="1:5" ht="13.5" thickBot="1" x14ac:dyDescent="0.25">
      <c r="A49" s="159" t="s">
        <v>1</v>
      </c>
      <c r="B49" s="158" t="s">
        <v>369</v>
      </c>
      <c r="C49" s="157">
        <f>C50+C51+C52+C53+C54+C55</f>
        <v>1260887328</v>
      </c>
      <c r="D49" s="415">
        <f>D50+D51+D52+D53+D54+D55</f>
        <v>1855810599</v>
      </c>
      <c r="E49" s="157">
        <f>E50+E51+E52+E53+E54+E55</f>
        <v>543003176</v>
      </c>
    </row>
    <row r="50" spans="1:5" ht="13.5" thickBot="1" x14ac:dyDescent="0.25">
      <c r="A50" s="159" t="s">
        <v>3</v>
      </c>
      <c r="B50" s="166" t="s">
        <v>254</v>
      </c>
      <c r="C50" s="165">
        <f>'6.melléklet.Kiadások.Önk.'!D68</f>
        <v>505127115</v>
      </c>
      <c r="D50" s="416">
        <f>'6.melléklet.Kiadások.Önk.'!E68</f>
        <v>529842298</v>
      </c>
      <c r="E50" s="420">
        <f>'6.melléklet.Kiadások.Önk.'!F68</f>
        <v>258540414</v>
      </c>
    </row>
    <row r="51" spans="1:5" ht="13.5" thickBot="1" x14ac:dyDescent="0.25">
      <c r="A51" s="159" t="s">
        <v>4</v>
      </c>
      <c r="B51" s="161" t="s">
        <v>253</v>
      </c>
      <c r="C51" s="162">
        <f>'6.melléklet.Kiadások.Önk.'!G68</f>
        <v>60201125</v>
      </c>
      <c r="D51" s="417">
        <f>'6.melléklet.Kiadások.Önk.'!H68</f>
        <v>62066475</v>
      </c>
      <c r="E51" s="411">
        <f>'6.melléklet.Kiadások.Önk.'!I68</f>
        <v>32814593</v>
      </c>
    </row>
    <row r="52" spans="1:5" ht="13.5" thickBot="1" x14ac:dyDescent="0.25">
      <c r="A52" s="159" t="s">
        <v>6</v>
      </c>
      <c r="B52" s="161" t="s">
        <v>252</v>
      </c>
      <c r="C52" s="162">
        <f>'6.melléklet.Kiadások.Önk.'!J68</f>
        <v>471628025</v>
      </c>
      <c r="D52" s="417">
        <f>'6.melléklet.Kiadások.Önk.'!K68</f>
        <v>474124610</v>
      </c>
      <c r="E52" s="411">
        <f>'6.melléklet.Kiadások.Önk.'!L68</f>
        <v>216282244</v>
      </c>
    </row>
    <row r="53" spans="1:5" ht="13.5" thickBot="1" x14ac:dyDescent="0.25">
      <c r="A53" s="159" t="s">
        <v>8</v>
      </c>
      <c r="B53" s="161" t="s">
        <v>251</v>
      </c>
      <c r="C53" s="162">
        <f>'6.melléklet.Kiadások.Önk.'!M68</f>
        <v>23567530</v>
      </c>
      <c r="D53" s="417">
        <f>'6.melléklet.Kiadások.Önk.'!N68</f>
        <v>23567530</v>
      </c>
      <c r="E53" s="411">
        <f>'6.melléklet.Kiadások.Önk.'!O68</f>
        <v>7598308</v>
      </c>
    </row>
    <row r="54" spans="1:5" ht="13.5" thickBot="1" x14ac:dyDescent="0.25">
      <c r="A54" s="159" t="s">
        <v>19</v>
      </c>
      <c r="B54" s="161" t="s">
        <v>250</v>
      </c>
      <c r="C54" s="162">
        <f>'6.melléklet.Kiadások.Önk.'!P68+'6.melléklet.Kiadások.Önk.'!S68</f>
        <v>36295321</v>
      </c>
      <c r="D54" s="417">
        <f>'6.melléklet.Kiadások.Önk.'!Q68+'6.melléklet.Kiadások.Önk.'!T68</f>
        <v>44142841</v>
      </c>
      <c r="E54" s="162">
        <f>'6.melléklet.Kiadások.Önk.'!R68+'6.melléklet.Kiadások.Önk.'!U68</f>
        <v>27767617</v>
      </c>
    </row>
    <row r="55" spans="1:5" ht="13.5" thickBot="1" x14ac:dyDescent="0.25">
      <c r="A55" s="159" t="s">
        <v>21</v>
      </c>
      <c r="B55" s="161" t="s">
        <v>249</v>
      </c>
      <c r="C55" s="162">
        <f>'6.melléklet.Kiadások.Önk.'!AH68</f>
        <v>164068212</v>
      </c>
      <c r="D55" s="417">
        <f>'6.melléklet.Kiadások.Önk.'!AI65</f>
        <v>722066845</v>
      </c>
      <c r="E55" s="162">
        <f>'6.melléklet.Kiadások.Önk.'!AJ65</f>
        <v>0</v>
      </c>
    </row>
    <row r="56" spans="1:5" ht="13.5" thickBot="1" x14ac:dyDescent="0.25">
      <c r="A56" s="159" t="s">
        <v>22</v>
      </c>
      <c r="B56" s="161" t="s">
        <v>370</v>
      </c>
      <c r="C56" s="162"/>
      <c r="D56" s="417"/>
      <c r="E56" s="410"/>
    </row>
    <row r="57" spans="1:5" ht="13.5" thickBot="1" x14ac:dyDescent="0.25">
      <c r="A57" s="159" t="s">
        <v>24</v>
      </c>
      <c r="B57" s="161" t="s">
        <v>44</v>
      </c>
      <c r="C57" s="162"/>
      <c r="D57" s="417"/>
      <c r="E57" s="410"/>
    </row>
    <row r="58" spans="1:5" ht="13.5" thickBot="1" x14ac:dyDescent="0.25">
      <c r="A58" s="159" t="s">
        <v>25</v>
      </c>
      <c r="B58" s="164" t="s">
        <v>248</v>
      </c>
      <c r="C58" s="163">
        <f>C59+C61+C63</f>
        <v>2102378884</v>
      </c>
      <c r="D58" s="418">
        <f>D59+D61+D63</f>
        <v>2103853884</v>
      </c>
      <c r="E58" s="163">
        <f>E59+E61+E63+E65</f>
        <v>163558448</v>
      </c>
    </row>
    <row r="59" spans="1:5" ht="13.5" thickBot="1" x14ac:dyDescent="0.25">
      <c r="A59" s="159" t="s">
        <v>26</v>
      </c>
      <c r="B59" s="161" t="s">
        <v>247</v>
      </c>
      <c r="C59" s="162">
        <f>'6.melléklet.Kiadások.Önk.'!AB68</f>
        <v>132551377</v>
      </c>
      <c r="D59" s="417">
        <f>'6.melléklet.Kiadások.Önk.'!AC68</f>
        <v>134026377</v>
      </c>
      <c r="E59" s="162">
        <f>'6.melléklet.Kiadások.Önk.'!AD68</f>
        <v>69928327</v>
      </c>
    </row>
    <row r="60" spans="1:5" ht="13.5" thickBot="1" x14ac:dyDescent="0.25">
      <c r="A60" s="159" t="s">
        <v>28</v>
      </c>
      <c r="B60" s="161" t="s">
        <v>371</v>
      </c>
      <c r="C60" s="162"/>
      <c r="D60" s="417"/>
      <c r="E60" s="410"/>
    </row>
    <row r="61" spans="1:5" ht="13.5" thickBot="1" x14ac:dyDescent="0.25">
      <c r="A61" s="159" t="s">
        <v>29</v>
      </c>
      <c r="B61" s="161" t="s">
        <v>46</v>
      </c>
      <c r="C61" s="162">
        <f>'6.melléklet.Kiadások.Önk.'!AE68</f>
        <v>1967427507</v>
      </c>
      <c r="D61" s="417">
        <f>'6.melléklet.Kiadások.Önk.'!AF68</f>
        <v>1967427507</v>
      </c>
      <c r="E61" s="162">
        <f>'6.melléklet.Kiadások.Önk.'!AG68</f>
        <v>86150016</v>
      </c>
    </row>
    <row r="62" spans="1:5" ht="13.5" thickBot="1" x14ac:dyDescent="0.25">
      <c r="A62" s="159" t="s">
        <v>32</v>
      </c>
      <c r="B62" s="161" t="s">
        <v>372</v>
      </c>
      <c r="C62" s="162"/>
      <c r="D62" s="417"/>
      <c r="E62" s="410"/>
    </row>
    <row r="63" spans="1:5" ht="13.5" thickBot="1" x14ac:dyDescent="0.25">
      <c r="A63" s="159" t="s">
        <v>34</v>
      </c>
      <c r="B63" s="161" t="s">
        <v>47</v>
      </c>
      <c r="C63" s="162">
        <f>C64+C65</f>
        <v>2400000</v>
      </c>
      <c r="D63" s="417">
        <f>D64</f>
        <v>2400000</v>
      </c>
      <c r="E63" s="162">
        <f>E64</f>
        <v>1750000</v>
      </c>
    </row>
    <row r="64" spans="1:5" ht="13.5" thickBot="1" x14ac:dyDescent="0.25">
      <c r="A64" s="159" t="s">
        <v>56</v>
      </c>
      <c r="B64" s="161" t="s">
        <v>421</v>
      </c>
      <c r="C64" s="162"/>
      <c r="D64" s="417">
        <f>'6.melléklet.Kiadások.Önk.'!AO68</f>
        <v>2400000</v>
      </c>
      <c r="E64" s="162">
        <f>'6.melléklet.Kiadások.Önk.'!AP68</f>
        <v>1750000</v>
      </c>
    </row>
    <row r="65" spans="1:7" ht="13.5" thickBot="1" x14ac:dyDescent="0.25">
      <c r="A65" s="159" t="s">
        <v>36</v>
      </c>
      <c r="B65" s="161" t="s">
        <v>420</v>
      </c>
      <c r="C65" s="162">
        <v>2400000</v>
      </c>
      <c r="D65" s="417"/>
      <c r="E65" s="411">
        <f>'6.melléklet.Kiadások.Önk.'!AA68</f>
        <v>5730105</v>
      </c>
    </row>
    <row r="66" spans="1:7" ht="13.5" thickBot="1" x14ac:dyDescent="0.25">
      <c r="A66" s="159" t="s">
        <v>38</v>
      </c>
      <c r="B66" s="164" t="s">
        <v>246</v>
      </c>
      <c r="C66" s="163">
        <f>C49+C58</f>
        <v>3363266212</v>
      </c>
      <c r="D66" s="418">
        <f>D49+D58</f>
        <v>3959664483</v>
      </c>
      <c r="E66" s="163">
        <f>E49+E58</f>
        <v>706561624</v>
      </c>
    </row>
    <row r="67" spans="1:7" ht="13.5" thickBot="1" x14ac:dyDescent="0.25">
      <c r="A67" s="159" t="s">
        <v>135</v>
      </c>
      <c r="B67" s="164" t="s">
        <v>245</v>
      </c>
      <c r="C67" s="163">
        <f>C68</f>
        <v>25341976</v>
      </c>
      <c r="D67" s="418">
        <f>D68</f>
        <v>25692813</v>
      </c>
      <c r="E67" s="163">
        <f>E68</f>
        <v>25692813</v>
      </c>
    </row>
    <row r="68" spans="1:7" ht="13.5" thickBot="1" x14ac:dyDescent="0.25">
      <c r="A68" s="159" t="s">
        <v>136</v>
      </c>
      <c r="B68" s="161" t="s">
        <v>244</v>
      </c>
      <c r="C68" s="162">
        <f>'6.melléklet.Kiadások.Önk.'!AK68</f>
        <v>25341976</v>
      </c>
      <c r="D68" s="417">
        <f>'6.melléklet.Kiadások.Önk.'!AL68</f>
        <v>25692813</v>
      </c>
      <c r="E68" s="162">
        <f>'6.melléklet.Kiadások.Önk.'!AM68</f>
        <v>25692813</v>
      </c>
    </row>
    <row r="69" spans="1:7" ht="13.5" thickBot="1" x14ac:dyDescent="0.25">
      <c r="A69" s="159" t="s">
        <v>137</v>
      </c>
      <c r="B69" s="164" t="s">
        <v>48</v>
      </c>
      <c r="C69" s="163"/>
      <c r="D69" s="417"/>
      <c r="E69" s="410"/>
    </row>
    <row r="70" spans="1:7" ht="13.5" thickBot="1" x14ac:dyDescent="0.25">
      <c r="A70" s="159" t="s">
        <v>138</v>
      </c>
      <c r="B70" s="164" t="s">
        <v>49</v>
      </c>
      <c r="C70" s="163"/>
      <c r="D70" s="417"/>
      <c r="E70" s="410"/>
    </row>
    <row r="71" spans="1:7" ht="13.5" thickBot="1" x14ac:dyDescent="0.25">
      <c r="A71" s="159" t="s">
        <v>139</v>
      </c>
      <c r="B71" s="164" t="s">
        <v>50</v>
      </c>
      <c r="C71" s="163"/>
      <c r="D71" s="417"/>
      <c r="E71" s="410"/>
    </row>
    <row r="72" spans="1:7" ht="13.5" thickBot="1" x14ac:dyDescent="0.25">
      <c r="A72" s="159" t="s">
        <v>140</v>
      </c>
      <c r="B72" s="160" t="s">
        <v>373</v>
      </c>
      <c r="C72" s="144">
        <f>C67+C69+C70+C71</f>
        <v>25341976</v>
      </c>
      <c r="D72" s="419">
        <f>D67+D69+D70+D71</f>
        <v>25692813</v>
      </c>
      <c r="E72" s="419">
        <f>E67+E69+E70+E71</f>
        <v>25692813</v>
      </c>
    </row>
    <row r="73" spans="1:7" ht="13.5" thickBot="1" x14ac:dyDescent="0.25">
      <c r="A73" s="159" t="s">
        <v>141</v>
      </c>
      <c r="B73" s="158" t="s">
        <v>374</v>
      </c>
      <c r="C73" s="157">
        <f>C66+C72</f>
        <v>3388608188</v>
      </c>
      <c r="D73" s="415">
        <f>D66+D72</f>
        <v>3985357296</v>
      </c>
      <c r="E73" s="415">
        <f>E66+E72</f>
        <v>732254437</v>
      </c>
      <c r="G73" s="141"/>
    </row>
    <row r="74" spans="1:7" x14ac:dyDescent="0.2">
      <c r="A74" s="156"/>
      <c r="B74" s="150"/>
      <c r="C74" s="151"/>
      <c r="D74" s="151"/>
    </row>
    <row r="75" spans="1:7" x14ac:dyDescent="0.2">
      <c r="A75" s="441" t="s">
        <v>314</v>
      </c>
      <c r="B75" s="441"/>
      <c r="C75" s="441"/>
      <c r="D75" s="155"/>
    </row>
    <row r="76" spans="1:7" ht="13.5" thickBot="1" x14ac:dyDescent="0.25">
      <c r="A76" s="154"/>
      <c r="B76" s="153"/>
      <c r="C76" s="152"/>
      <c r="D76" s="151"/>
      <c r="E76" s="424"/>
    </row>
    <row r="77" spans="1:7" ht="42" customHeight="1" x14ac:dyDescent="0.2">
      <c r="A77" s="149" t="s">
        <v>1</v>
      </c>
      <c r="B77" s="148" t="s">
        <v>365</v>
      </c>
      <c r="C77" s="147">
        <f ca="1">C34-C66</f>
        <v>-240150514</v>
      </c>
      <c r="D77" s="147">
        <f ca="1">D34-D66</f>
        <v>-771959234</v>
      </c>
      <c r="E77" s="147">
        <f ca="1">E34-E66</f>
        <v>-117853174</v>
      </c>
    </row>
    <row r="78" spans="1:7" ht="45.75" customHeight="1" x14ac:dyDescent="0.2">
      <c r="A78" s="146" t="s">
        <v>3</v>
      </c>
      <c r="B78" s="145" t="s">
        <v>366</v>
      </c>
      <c r="C78" s="144">
        <f ca="1">C42-C72</f>
        <v>240150514</v>
      </c>
      <c r="D78" s="144">
        <f ca="1">D42-D72</f>
        <v>773251495</v>
      </c>
      <c r="E78" s="144">
        <f ca="1">E42-E72</f>
        <v>773251495</v>
      </c>
    </row>
    <row r="79" spans="1:7" x14ac:dyDescent="0.2">
      <c r="A79" s="143" t="s">
        <v>4</v>
      </c>
      <c r="B79" s="142" t="s">
        <v>243</v>
      </c>
      <c r="C79" s="142"/>
      <c r="D79" s="142"/>
      <c r="E79" s="410"/>
    </row>
  </sheetData>
  <mergeCells count="5">
    <mergeCell ref="A46:C46"/>
    <mergeCell ref="A75:C75"/>
    <mergeCell ref="A4:D4"/>
    <mergeCell ref="B2:D2"/>
    <mergeCell ref="B1:D1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20"/>
  <sheetViews>
    <sheetView workbookViewId="0">
      <selection activeCell="A3" sqref="A3"/>
    </sheetView>
  </sheetViews>
  <sheetFormatPr defaultColWidth="9.140625" defaultRowHeight="12.75" x14ac:dyDescent="0.2"/>
  <cols>
    <col min="1" max="1" width="4.7109375" style="218" customWidth="1"/>
    <col min="2" max="2" width="27" style="283" customWidth="1"/>
    <col min="3" max="3" width="11.5703125" style="218" customWidth="1"/>
    <col min="4" max="4" width="13" style="218" customWidth="1"/>
    <col min="5" max="5" width="12.85546875" style="218" customWidth="1"/>
    <col min="6" max="6" width="14.7109375" style="218" customWidth="1"/>
    <col min="7" max="7" width="15.28515625" style="218" customWidth="1"/>
    <col min="8" max="8" width="13" style="218" customWidth="1"/>
    <col min="9" max="9" width="14.85546875" style="218" customWidth="1"/>
    <col min="10" max="10" width="10.140625" style="218" customWidth="1"/>
    <col min="11" max="16384" width="9.140625" style="218"/>
  </cols>
  <sheetData>
    <row r="1" spans="1:19" s="187" customFormat="1" x14ac:dyDescent="0.2">
      <c r="A1" s="520"/>
      <c r="B1" s="521"/>
      <c r="C1" s="521"/>
      <c r="D1" s="521"/>
      <c r="E1" s="521"/>
      <c r="F1" s="521"/>
      <c r="G1" s="521"/>
      <c r="H1" s="521"/>
      <c r="I1" s="521"/>
      <c r="J1" s="521"/>
      <c r="K1" s="186"/>
      <c r="L1" s="186"/>
      <c r="M1" s="186"/>
      <c r="N1" s="186"/>
      <c r="O1" s="186"/>
      <c r="P1" s="186"/>
      <c r="Q1" s="186"/>
      <c r="R1" s="186"/>
      <c r="S1" s="186"/>
    </row>
    <row r="2" spans="1:19" s="187" customFormat="1" ht="12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s="187" customFormat="1" x14ac:dyDescent="0.2">
      <c r="A3" s="368" t="s">
        <v>400</v>
      </c>
      <c r="B3" s="369"/>
      <c r="C3" s="369"/>
      <c r="D3" s="369"/>
      <c r="E3" s="369"/>
      <c r="F3" s="369"/>
      <c r="G3" s="369"/>
      <c r="H3" s="369"/>
      <c r="I3" s="369"/>
      <c r="J3" s="369"/>
      <c r="K3" s="186"/>
      <c r="L3" s="186"/>
      <c r="M3" s="186"/>
      <c r="N3" s="186"/>
      <c r="O3" s="186"/>
      <c r="P3" s="186"/>
      <c r="Q3" s="186"/>
      <c r="R3" s="186"/>
      <c r="S3" s="186"/>
    </row>
    <row r="4" spans="1:19" s="187" customFormat="1" ht="12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3"/>
      <c r="L4" s="189"/>
      <c r="M4" s="189"/>
      <c r="N4" s="189"/>
      <c r="O4" s="189"/>
      <c r="P4" s="189"/>
      <c r="Q4" s="189"/>
      <c r="R4" s="189"/>
      <c r="S4" s="189"/>
    </row>
    <row r="5" spans="1:19" s="187" customFormat="1" ht="33" customHeight="1" x14ac:dyDescent="0.25">
      <c r="A5" s="522" t="s">
        <v>301</v>
      </c>
      <c r="B5" s="523"/>
      <c r="C5" s="523"/>
      <c r="D5" s="523"/>
      <c r="E5" s="523"/>
      <c r="F5" s="523"/>
      <c r="G5" s="523"/>
      <c r="H5" s="523"/>
      <c r="I5" s="523"/>
      <c r="J5" s="523"/>
      <c r="K5" s="195"/>
      <c r="L5" s="195"/>
      <c r="M5" s="195"/>
      <c r="N5" s="195"/>
      <c r="O5" s="195"/>
      <c r="P5" s="195"/>
      <c r="Q5" s="195"/>
      <c r="R5" s="195"/>
      <c r="S5" s="195"/>
    </row>
    <row r="6" spans="1:19" s="187" customFormat="1" ht="12" x14ac:dyDescent="0.2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3"/>
      <c r="L6" s="189"/>
      <c r="M6" s="189"/>
      <c r="N6" s="189"/>
      <c r="O6" s="189"/>
      <c r="P6" s="189"/>
      <c r="Q6" s="189"/>
      <c r="R6" s="189"/>
      <c r="S6" s="189"/>
    </row>
    <row r="7" spans="1:19" s="187" customFormat="1" ht="13.5" thickBot="1" x14ac:dyDescent="0.25">
      <c r="A7" s="515" t="s">
        <v>300</v>
      </c>
      <c r="B7" s="515"/>
      <c r="C7" s="515"/>
      <c r="D7" s="515"/>
      <c r="E7" s="515"/>
      <c r="F7" s="515"/>
      <c r="G7" s="515"/>
      <c r="H7" s="515"/>
      <c r="I7" s="515"/>
      <c r="J7" s="186"/>
      <c r="K7" s="186"/>
      <c r="L7" s="186"/>
      <c r="M7" s="186"/>
      <c r="N7" s="186"/>
      <c r="O7" s="186"/>
      <c r="P7" s="186"/>
      <c r="Q7" s="186"/>
      <c r="R7" s="186"/>
      <c r="S7" s="186"/>
    </row>
    <row r="8" spans="1:19" x14ac:dyDescent="0.2">
      <c r="A8" s="516" t="s">
        <v>291</v>
      </c>
      <c r="B8" s="518" t="s">
        <v>299</v>
      </c>
      <c r="C8" s="518"/>
      <c r="D8" s="518"/>
      <c r="E8" s="518"/>
      <c r="F8" s="518"/>
      <c r="G8" s="518"/>
      <c r="H8" s="518"/>
      <c r="I8" s="519"/>
    </row>
    <row r="9" spans="1:19" ht="57.75" customHeight="1" x14ac:dyDescent="0.2">
      <c r="A9" s="517"/>
      <c r="B9" s="288" t="s">
        <v>298</v>
      </c>
      <c r="C9" s="287" t="s">
        <v>297</v>
      </c>
      <c r="D9" s="287" t="s">
        <v>411</v>
      </c>
      <c r="E9" s="287" t="s">
        <v>412</v>
      </c>
      <c r="F9" s="287" t="s">
        <v>413</v>
      </c>
      <c r="G9" s="287" t="s">
        <v>296</v>
      </c>
      <c r="H9" s="287" t="s">
        <v>122</v>
      </c>
      <c r="I9" s="286" t="s">
        <v>83</v>
      </c>
    </row>
    <row r="10" spans="1:19" ht="31.35" customHeight="1" x14ac:dyDescent="0.2">
      <c r="A10" s="285">
        <v>1</v>
      </c>
      <c r="B10" s="272" t="s">
        <v>295</v>
      </c>
      <c r="C10" s="204">
        <v>0</v>
      </c>
      <c r="D10" s="204"/>
      <c r="E10" s="204">
        <v>3</v>
      </c>
      <c r="F10" s="204">
        <v>3</v>
      </c>
      <c r="G10" s="204">
        <v>62</v>
      </c>
      <c r="H10" s="204">
        <v>1</v>
      </c>
      <c r="I10" s="208">
        <f>SUM(C10:H10)</f>
        <v>69</v>
      </c>
    </row>
    <row r="11" spans="1:19" ht="31.35" customHeight="1" x14ac:dyDescent="0.2">
      <c r="A11" s="285">
        <v>2</v>
      </c>
      <c r="B11" s="272" t="s">
        <v>270</v>
      </c>
      <c r="C11" s="204">
        <v>18</v>
      </c>
      <c r="D11" s="204"/>
      <c r="E11" s="204"/>
      <c r="F11" s="204"/>
      <c r="G11" s="204"/>
      <c r="H11" s="204"/>
      <c r="I11" s="208">
        <f>SUM(C11:H11)</f>
        <v>18</v>
      </c>
    </row>
    <row r="12" spans="1:19" ht="31.35" customHeight="1" x14ac:dyDescent="0.2">
      <c r="A12" s="285">
        <v>3</v>
      </c>
      <c r="B12" s="272" t="s">
        <v>271</v>
      </c>
      <c r="C12" s="204"/>
      <c r="D12" s="204">
        <v>28</v>
      </c>
      <c r="E12" s="204"/>
      <c r="F12" s="204"/>
      <c r="G12" s="204"/>
      <c r="H12" s="204"/>
      <c r="I12" s="208">
        <f>SUM(C12:H12)</f>
        <v>28</v>
      </c>
    </row>
    <row r="13" spans="1:19" ht="31.35" customHeight="1" x14ac:dyDescent="0.2">
      <c r="A13" s="285">
        <v>4</v>
      </c>
      <c r="B13" s="272" t="s">
        <v>272</v>
      </c>
      <c r="C13" s="204"/>
      <c r="D13" s="204">
        <v>36</v>
      </c>
      <c r="E13" s="204"/>
      <c r="F13" s="204"/>
      <c r="G13" s="204">
        <v>1</v>
      </c>
      <c r="H13" s="204"/>
      <c r="I13" s="208">
        <f>SUM(C13:H13)</f>
        <v>37</v>
      </c>
    </row>
    <row r="14" spans="1:19" ht="13.5" thickBot="1" x14ac:dyDescent="0.25">
      <c r="A14" s="275">
        <v>5</v>
      </c>
      <c r="B14" s="284" t="s">
        <v>294</v>
      </c>
      <c r="C14" s="211">
        <f t="shared" ref="C14:I14" si="0">C10+C11+C12+C13</f>
        <v>18</v>
      </c>
      <c r="D14" s="211">
        <f t="shared" si="0"/>
        <v>64</v>
      </c>
      <c r="E14" s="211">
        <f t="shared" si="0"/>
        <v>3</v>
      </c>
      <c r="F14" s="211">
        <f t="shared" si="0"/>
        <v>3</v>
      </c>
      <c r="G14" s="211">
        <f t="shared" si="0"/>
        <v>63</v>
      </c>
      <c r="H14" s="211">
        <f t="shared" si="0"/>
        <v>1</v>
      </c>
      <c r="I14" s="212">
        <f t="shared" si="0"/>
        <v>152</v>
      </c>
    </row>
    <row r="16" spans="1:19" ht="25.5" x14ac:dyDescent="0.2">
      <c r="B16" s="272" t="s">
        <v>293</v>
      </c>
      <c r="C16" s="509"/>
      <c r="D16" s="510"/>
      <c r="E16" s="510"/>
      <c r="F16" s="510"/>
      <c r="G16" s="510"/>
      <c r="H16" s="511"/>
      <c r="I16" s="204">
        <v>7</v>
      </c>
    </row>
    <row r="17" spans="2:9" x14ac:dyDescent="0.2">
      <c r="B17" s="272" t="s">
        <v>292</v>
      </c>
      <c r="C17" s="512"/>
      <c r="D17" s="513"/>
      <c r="E17" s="513"/>
      <c r="F17" s="513"/>
      <c r="G17" s="513"/>
      <c r="H17" s="514"/>
      <c r="I17" s="204">
        <v>4</v>
      </c>
    </row>
    <row r="20" spans="2:9" x14ac:dyDescent="0.2">
      <c r="E20" s="203"/>
    </row>
  </sheetData>
  <mergeCells count="6">
    <mergeCell ref="C16:H17"/>
    <mergeCell ref="A7:I7"/>
    <mergeCell ref="A8:A9"/>
    <mergeCell ref="B8:I8"/>
    <mergeCell ref="A1:J1"/>
    <mergeCell ref="A5:J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R125"/>
  <sheetViews>
    <sheetView tabSelected="1" zoomScale="112" zoomScaleNormal="112" workbookViewId="0">
      <selection activeCell="K11" sqref="K11"/>
    </sheetView>
  </sheetViews>
  <sheetFormatPr defaultColWidth="9.140625" defaultRowHeight="12.75" x14ac:dyDescent="0.2"/>
  <cols>
    <col min="1" max="1" width="4.85546875" style="200" customWidth="1"/>
    <col min="2" max="2" width="45.5703125" style="249" customWidth="1"/>
    <col min="3" max="3" width="13.42578125" style="199" customWidth="1"/>
    <col min="4" max="4" width="12.5703125" style="199" customWidth="1"/>
    <col min="5" max="5" width="11.7109375" style="199" customWidth="1"/>
    <col min="6" max="6" width="9.140625" style="200"/>
    <col min="7" max="7" width="19.5703125" style="200" customWidth="1"/>
    <col min="8" max="16384" width="9.140625" style="200"/>
  </cols>
  <sheetData>
    <row r="1" spans="1:18" s="187" customFormat="1" ht="27.75" customHeight="1" x14ac:dyDescent="0.2">
      <c r="A1" s="520"/>
      <c r="B1" s="521"/>
      <c r="C1" s="521"/>
      <c r="D1" s="521"/>
      <c r="E1" s="185"/>
      <c r="F1" s="185"/>
      <c r="G1" s="185"/>
      <c r="H1" s="185"/>
      <c r="I1" s="185"/>
      <c r="J1" s="186"/>
      <c r="K1" s="186"/>
      <c r="L1" s="186"/>
      <c r="M1" s="186"/>
      <c r="N1" s="186"/>
      <c r="O1" s="186"/>
      <c r="P1" s="186"/>
      <c r="Q1" s="186"/>
      <c r="R1" s="186"/>
    </row>
    <row r="2" spans="1:18" s="187" customFormat="1" ht="12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187" customFormat="1" ht="28.5" customHeight="1" x14ac:dyDescent="0.2">
      <c r="A3" s="524" t="s">
        <v>401</v>
      </c>
      <c r="B3" s="525"/>
      <c r="C3" s="525"/>
      <c r="D3" s="525"/>
      <c r="E3" s="190"/>
      <c r="F3" s="190"/>
      <c r="G3" s="190"/>
      <c r="H3" s="190"/>
      <c r="I3" s="190"/>
      <c r="J3" s="186"/>
      <c r="K3" s="186"/>
      <c r="L3" s="186"/>
      <c r="M3" s="186"/>
      <c r="N3" s="186"/>
      <c r="O3" s="186"/>
      <c r="P3" s="186"/>
      <c r="Q3" s="186"/>
      <c r="R3" s="186"/>
    </row>
    <row r="4" spans="1:18" s="187" customFormat="1" ht="12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3"/>
      <c r="K4" s="189"/>
      <c r="L4" s="189"/>
      <c r="M4" s="189"/>
      <c r="N4" s="189"/>
      <c r="O4" s="189"/>
      <c r="P4" s="189"/>
      <c r="Q4" s="189"/>
      <c r="R4" s="189"/>
    </row>
    <row r="5" spans="1:18" s="187" customFormat="1" ht="33" customHeight="1" x14ac:dyDescent="0.25">
      <c r="A5" s="522" t="s">
        <v>263</v>
      </c>
      <c r="B5" s="523"/>
      <c r="C5" s="523"/>
      <c r="D5" s="523"/>
      <c r="E5" s="194"/>
      <c r="F5" s="194"/>
      <c r="G5" s="194"/>
      <c r="H5" s="194"/>
      <c r="I5" s="194"/>
      <c r="J5" s="195"/>
      <c r="K5" s="195"/>
      <c r="L5" s="195"/>
      <c r="M5" s="195"/>
      <c r="N5" s="195"/>
      <c r="O5" s="195"/>
      <c r="P5" s="195"/>
      <c r="Q5" s="195"/>
      <c r="R5" s="195"/>
    </row>
    <row r="6" spans="1:18" s="187" customFormat="1" ht="12" x14ac:dyDescent="0.2">
      <c r="A6" s="191"/>
      <c r="B6" s="192"/>
      <c r="C6" s="192"/>
      <c r="D6" s="192"/>
      <c r="E6" s="192"/>
      <c r="F6" s="192"/>
      <c r="G6" s="192"/>
      <c r="H6" s="192"/>
      <c r="I6" s="192"/>
      <c r="J6" s="193"/>
      <c r="K6" s="189"/>
      <c r="L6" s="189"/>
      <c r="M6" s="189"/>
      <c r="N6" s="189"/>
      <c r="O6" s="189"/>
      <c r="P6" s="189"/>
      <c r="Q6" s="189"/>
      <c r="R6" s="189"/>
    </row>
    <row r="7" spans="1:18" s="187" customFormat="1" ht="13.5" thickBot="1" x14ac:dyDescent="0.25">
      <c r="A7" s="196"/>
      <c r="B7" s="196"/>
      <c r="C7" s="515" t="s">
        <v>303</v>
      </c>
      <c r="D7" s="515"/>
      <c r="E7" s="196"/>
      <c r="F7" s="196"/>
      <c r="G7" s="196"/>
      <c r="H7" s="196"/>
      <c r="I7" s="186"/>
      <c r="J7" s="186"/>
      <c r="K7" s="186"/>
      <c r="L7" s="186"/>
      <c r="M7" s="186"/>
      <c r="N7" s="186"/>
      <c r="O7" s="186"/>
      <c r="P7" s="186"/>
      <c r="Q7" s="186"/>
      <c r="R7" s="186"/>
    </row>
    <row r="8" spans="1:18" ht="26.25" customHeight="1" x14ac:dyDescent="0.2">
      <c r="A8" s="197" t="s">
        <v>66</v>
      </c>
      <c r="B8" s="295" t="s">
        <v>264</v>
      </c>
      <c r="C8" s="198" t="s">
        <v>265</v>
      </c>
      <c r="D8" s="385" t="s">
        <v>266</v>
      </c>
      <c r="E8" s="394" t="s">
        <v>416</v>
      </c>
    </row>
    <row r="9" spans="1:18" ht="27" customHeight="1" x14ac:dyDescent="0.2">
      <c r="A9" s="291" t="s">
        <v>185</v>
      </c>
      <c r="B9" s="347" t="s">
        <v>52</v>
      </c>
      <c r="C9" s="348" t="s">
        <v>60</v>
      </c>
      <c r="D9" s="386" t="s">
        <v>53</v>
      </c>
      <c r="E9" s="345" t="s">
        <v>54</v>
      </c>
    </row>
    <row r="10" spans="1:18" ht="27" customHeight="1" x14ac:dyDescent="0.2">
      <c r="A10" s="346" t="s">
        <v>1</v>
      </c>
      <c r="B10" s="349" t="s">
        <v>407</v>
      </c>
      <c r="C10" s="350">
        <v>116086518</v>
      </c>
      <c r="D10" s="387">
        <f>C10</f>
        <v>116086518</v>
      </c>
      <c r="E10" s="426">
        <v>55886784</v>
      </c>
    </row>
    <row r="11" spans="1:18" ht="25.5" x14ac:dyDescent="0.2">
      <c r="A11" s="346" t="s">
        <v>3</v>
      </c>
      <c r="B11" s="205" t="s">
        <v>408</v>
      </c>
      <c r="C11" s="297">
        <v>11858730</v>
      </c>
      <c r="D11" s="432">
        <f>C11</f>
        <v>11858730</v>
      </c>
      <c r="E11" s="426">
        <v>9634498</v>
      </c>
      <c r="F11" s="202"/>
      <c r="G11" s="203"/>
    </row>
    <row r="12" spans="1:18" x14ac:dyDescent="0.2">
      <c r="A12" s="346" t="s">
        <v>4</v>
      </c>
      <c r="B12" s="205" t="s">
        <v>425</v>
      </c>
      <c r="C12" s="297"/>
      <c r="D12" s="388"/>
      <c r="E12" s="426">
        <v>67608</v>
      </c>
      <c r="F12" s="202"/>
      <c r="G12" s="203"/>
    </row>
    <row r="13" spans="1:18" x14ac:dyDescent="0.2">
      <c r="A13" s="346" t="s">
        <v>6</v>
      </c>
      <c r="B13" s="205" t="s">
        <v>358</v>
      </c>
      <c r="C13" s="297">
        <v>250000</v>
      </c>
      <c r="D13" s="389">
        <v>1725190</v>
      </c>
      <c r="E13" s="426">
        <v>1357053</v>
      </c>
      <c r="F13" s="202"/>
      <c r="G13" s="203"/>
    </row>
    <row r="14" spans="1:18" x14ac:dyDescent="0.2">
      <c r="A14" s="346" t="s">
        <v>8</v>
      </c>
      <c r="B14" s="205" t="s">
        <v>304</v>
      </c>
      <c r="C14" s="297">
        <v>4355939</v>
      </c>
      <c r="D14" s="389">
        <f>C14</f>
        <v>4355939</v>
      </c>
      <c r="E14" s="430">
        <v>2915725</v>
      </c>
      <c r="F14" s="202"/>
      <c r="G14" s="203"/>
    </row>
    <row r="15" spans="1:18" x14ac:dyDescent="0.2">
      <c r="A15" s="346" t="s">
        <v>19</v>
      </c>
      <c r="B15" s="205" t="s">
        <v>423</v>
      </c>
      <c r="C15" s="297"/>
      <c r="D15" s="389"/>
      <c r="E15" s="430">
        <v>55061</v>
      </c>
      <c r="F15" s="202"/>
      <c r="G15" s="203"/>
    </row>
    <row r="16" spans="1:18" x14ac:dyDescent="0.2">
      <c r="A16" s="346" t="s">
        <v>21</v>
      </c>
      <c r="B16" s="205" t="s">
        <v>424</v>
      </c>
      <c r="C16" s="297"/>
      <c r="D16" s="389"/>
      <c r="E16" s="426">
        <v>11598</v>
      </c>
      <c r="F16" s="202"/>
      <c r="G16" s="203"/>
    </row>
    <row r="17" spans="1:7" x14ac:dyDescent="0.2">
      <c r="A17" s="346" t="s">
        <v>22</v>
      </c>
      <c r="B17" s="293" t="s">
        <v>63</v>
      </c>
      <c r="C17" s="298">
        <f>SUM(C10:C14)</f>
        <v>132551187</v>
      </c>
      <c r="D17" s="390">
        <f>SUM(D10:D14)</f>
        <v>134026377</v>
      </c>
      <c r="E17" s="433">
        <f>SUM(E10:E16)</f>
        <v>69928327</v>
      </c>
      <c r="F17" s="202"/>
      <c r="G17" s="203"/>
    </row>
    <row r="18" spans="1:7" x14ac:dyDescent="0.2">
      <c r="A18" s="346" t="s">
        <v>24</v>
      </c>
      <c r="B18" s="201"/>
      <c r="C18" s="290"/>
      <c r="D18" s="391"/>
      <c r="E18" s="431"/>
      <c r="F18" s="202"/>
      <c r="G18" s="203"/>
    </row>
    <row r="19" spans="1:7" ht="14.25" x14ac:dyDescent="0.2">
      <c r="A19" s="346" t="s">
        <v>25</v>
      </c>
      <c r="B19" s="294" t="s">
        <v>306</v>
      </c>
      <c r="C19" s="290"/>
      <c r="D19" s="391"/>
      <c r="E19" s="426"/>
      <c r="F19" s="202"/>
      <c r="G19" s="203"/>
    </row>
    <row r="20" spans="1:7" x14ac:dyDescent="0.2">
      <c r="A20" s="346" t="s">
        <v>26</v>
      </c>
      <c r="B20" s="349" t="s">
        <v>407</v>
      </c>
      <c r="C20" s="290"/>
      <c r="D20" s="391"/>
      <c r="E20" s="426">
        <v>70437722</v>
      </c>
      <c r="F20" s="202"/>
      <c r="G20" s="203"/>
    </row>
    <row r="21" spans="1:7" x14ac:dyDescent="0.2">
      <c r="A21" s="346" t="s">
        <v>28</v>
      </c>
      <c r="B21" s="201" t="s">
        <v>356</v>
      </c>
      <c r="C21" s="296">
        <v>11773671</v>
      </c>
      <c r="D21" s="392">
        <f>C21</f>
        <v>11773671</v>
      </c>
      <c r="E21" s="426"/>
      <c r="F21" s="202"/>
      <c r="G21" s="203"/>
    </row>
    <row r="22" spans="1:7" x14ac:dyDescent="0.2">
      <c r="A22" s="346" t="s">
        <v>29</v>
      </c>
      <c r="B22" s="201" t="s">
        <v>410</v>
      </c>
      <c r="C22" s="296">
        <v>1935000000</v>
      </c>
      <c r="D22" s="392">
        <f>C22</f>
        <v>1935000000</v>
      </c>
      <c r="E22" s="426">
        <v>0</v>
      </c>
      <c r="F22" s="202"/>
      <c r="G22" s="203"/>
    </row>
    <row r="23" spans="1:7" x14ac:dyDescent="0.2">
      <c r="A23" s="346" t="s">
        <v>32</v>
      </c>
      <c r="B23" s="201" t="s">
        <v>409</v>
      </c>
      <c r="C23" s="296">
        <v>10653836</v>
      </c>
      <c r="D23" s="392">
        <f>C23</f>
        <v>10653836</v>
      </c>
      <c r="E23" s="426">
        <v>5899026</v>
      </c>
      <c r="F23" s="202"/>
      <c r="G23" s="203"/>
    </row>
    <row r="24" spans="1:7" x14ac:dyDescent="0.2">
      <c r="A24" s="346" t="s">
        <v>34</v>
      </c>
      <c r="B24" s="201" t="s">
        <v>357</v>
      </c>
      <c r="C24" s="296">
        <v>10000000</v>
      </c>
      <c r="D24" s="392">
        <f>C24</f>
        <v>10000000</v>
      </c>
      <c r="E24" s="426">
        <v>0</v>
      </c>
      <c r="F24" s="202"/>
      <c r="G24" s="203"/>
    </row>
    <row r="25" spans="1:7" ht="25.5" x14ac:dyDescent="0.2">
      <c r="A25" s="346" t="s">
        <v>56</v>
      </c>
      <c r="B25" s="201" t="s">
        <v>426</v>
      </c>
      <c r="C25" s="296"/>
      <c r="D25" s="392"/>
      <c r="E25" s="430">
        <v>9813268</v>
      </c>
      <c r="F25" s="202"/>
      <c r="G25" s="203"/>
    </row>
    <row r="26" spans="1:7" x14ac:dyDescent="0.2">
      <c r="A26" s="346" t="s">
        <v>36</v>
      </c>
      <c r="B26" s="293" t="s">
        <v>63</v>
      </c>
      <c r="C26" s="298">
        <f>SUM(C21:C24)</f>
        <v>1967427507</v>
      </c>
      <c r="D26" s="390">
        <f>SUM(D21:D24)</f>
        <v>1967427507</v>
      </c>
      <c r="E26" s="433">
        <f>SUM(E20:E25)</f>
        <v>86150016</v>
      </c>
      <c r="F26" s="202"/>
      <c r="G26" s="203"/>
    </row>
    <row r="27" spans="1:7" x14ac:dyDescent="0.2">
      <c r="A27" s="346" t="s">
        <v>38</v>
      </c>
      <c r="B27" s="201"/>
      <c r="C27" s="296"/>
      <c r="D27" s="392"/>
      <c r="E27" s="431"/>
      <c r="F27" s="202"/>
      <c r="G27" s="203"/>
    </row>
    <row r="28" spans="1:7" x14ac:dyDescent="0.2">
      <c r="A28" s="346" t="s">
        <v>130</v>
      </c>
      <c r="B28" s="201"/>
      <c r="C28" s="296"/>
      <c r="D28" s="392"/>
      <c r="E28" s="430"/>
      <c r="F28" s="202"/>
      <c r="G28" s="203"/>
    </row>
    <row r="29" spans="1:7" ht="13.5" thickBot="1" x14ac:dyDescent="0.25">
      <c r="A29" s="346" t="s">
        <v>131</v>
      </c>
      <c r="B29" s="292" t="s">
        <v>307</v>
      </c>
      <c r="C29" s="299">
        <f>C17+C26</f>
        <v>2099978694</v>
      </c>
      <c r="D29" s="393">
        <f>D17+D26</f>
        <v>2101453884</v>
      </c>
      <c r="E29" s="434">
        <f>E17+E26</f>
        <v>156078343</v>
      </c>
      <c r="F29" s="439"/>
      <c r="G29" s="203"/>
    </row>
    <row r="30" spans="1:7" x14ac:dyDescent="0.2">
      <c r="A30" s="213"/>
      <c r="B30" s="214"/>
      <c r="C30" s="215"/>
    </row>
    <row r="31" spans="1:7" x14ac:dyDescent="0.2">
      <c r="A31" s="216"/>
      <c r="B31" s="217"/>
      <c r="C31" s="218"/>
      <c r="D31" s="218"/>
      <c r="E31" s="209"/>
    </row>
    <row r="32" spans="1:7" x14ac:dyDescent="0.2">
      <c r="A32" s="216"/>
      <c r="B32" s="217"/>
      <c r="C32" s="218"/>
      <c r="D32" s="218"/>
      <c r="E32" s="209"/>
    </row>
    <row r="33" spans="1:5" x14ac:dyDescent="0.2">
      <c r="A33" s="216"/>
      <c r="B33" s="217"/>
      <c r="C33" s="218"/>
      <c r="D33" s="218"/>
      <c r="E33" s="209"/>
    </row>
    <row r="34" spans="1:5" x14ac:dyDescent="0.2">
      <c r="A34" s="216"/>
      <c r="B34" s="217"/>
      <c r="C34" s="218"/>
      <c r="D34" s="218"/>
      <c r="E34" s="209"/>
    </row>
    <row r="35" spans="1:5" ht="18" customHeight="1" x14ac:dyDescent="0.2">
      <c r="A35" s="216"/>
      <c r="B35" s="219"/>
      <c r="C35" s="220"/>
      <c r="D35" s="218"/>
      <c r="E35" s="209"/>
    </row>
    <row r="36" spans="1:5" ht="18" customHeight="1" x14ac:dyDescent="0.2">
      <c r="A36" s="216"/>
      <c r="B36" s="217"/>
      <c r="C36" s="218"/>
      <c r="D36" s="218"/>
      <c r="E36" s="209"/>
    </row>
    <row r="37" spans="1:5" x14ac:dyDescent="0.2">
      <c r="A37" s="216"/>
      <c r="B37" s="221"/>
      <c r="C37" s="220"/>
      <c r="D37" s="218"/>
      <c r="E37" s="209"/>
    </row>
    <row r="38" spans="1:5" x14ac:dyDescent="0.2">
      <c r="A38" s="216"/>
      <c r="B38" s="221"/>
      <c r="C38" s="220"/>
      <c r="D38" s="218"/>
      <c r="E38" s="209"/>
    </row>
    <row r="39" spans="1:5" x14ac:dyDescent="0.2">
      <c r="A39" s="213"/>
      <c r="B39" s="214"/>
      <c r="C39" s="222"/>
      <c r="D39" s="222"/>
      <c r="E39" s="222"/>
    </row>
    <row r="40" spans="1:5" x14ac:dyDescent="0.2">
      <c r="A40" s="213"/>
      <c r="B40" s="223"/>
      <c r="C40" s="222"/>
      <c r="D40" s="224"/>
      <c r="E40" s="225"/>
    </row>
    <row r="41" spans="1:5" x14ac:dyDescent="0.2">
      <c r="A41" s="216"/>
      <c r="B41" s="217"/>
      <c r="C41" s="226"/>
      <c r="D41" s="226"/>
      <c r="E41" s="209"/>
    </row>
    <row r="42" spans="1:5" x14ac:dyDescent="0.2">
      <c r="A42" s="213"/>
      <c r="B42" s="217"/>
      <c r="C42" s="226"/>
      <c r="D42" s="226"/>
      <c r="E42" s="226"/>
    </row>
    <row r="43" spans="1:5" x14ac:dyDescent="0.2">
      <c r="A43" s="216"/>
      <c r="B43" s="217"/>
      <c r="C43" s="226"/>
      <c r="D43" s="226"/>
      <c r="E43" s="226"/>
    </row>
    <row r="44" spans="1:5" x14ac:dyDescent="0.2">
      <c r="A44" s="216"/>
      <c r="B44" s="217"/>
      <c r="C44" s="226"/>
      <c r="D44" s="226"/>
      <c r="E44" s="226"/>
    </row>
    <row r="45" spans="1:5" x14ac:dyDescent="0.2">
      <c r="A45" s="216"/>
      <c r="B45" s="217"/>
      <c r="C45" s="226"/>
      <c r="D45" s="226"/>
      <c r="E45" s="226"/>
    </row>
    <row r="46" spans="1:5" x14ac:dyDescent="0.2">
      <c r="A46" s="213"/>
      <c r="B46" s="217"/>
      <c r="C46" s="226"/>
      <c r="D46" s="226"/>
      <c r="E46" s="226"/>
    </row>
    <row r="47" spans="1:5" x14ac:dyDescent="0.2">
      <c r="A47" s="216"/>
      <c r="B47" s="227"/>
      <c r="C47" s="224"/>
      <c r="D47" s="224"/>
      <c r="E47" s="225"/>
    </row>
    <row r="48" spans="1:5" x14ac:dyDescent="0.2">
      <c r="A48" s="216"/>
      <c r="B48" s="217"/>
      <c r="C48" s="226"/>
      <c r="D48" s="226"/>
      <c r="E48" s="209"/>
    </row>
    <row r="49" spans="1:5" x14ac:dyDescent="0.2">
      <c r="A49" s="216"/>
      <c r="B49" s="227"/>
      <c r="C49" s="220"/>
      <c r="D49" s="220"/>
      <c r="E49" s="209"/>
    </row>
    <row r="50" spans="1:5" x14ac:dyDescent="0.2">
      <c r="A50" s="216"/>
      <c r="B50" s="217"/>
      <c r="C50" s="218"/>
      <c r="D50" s="218"/>
      <c r="E50" s="209"/>
    </row>
    <row r="51" spans="1:5" x14ac:dyDescent="0.2">
      <c r="A51" s="216"/>
      <c r="B51" s="217"/>
      <c r="C51" s="218"/>
      <c r="D51" s="218"/>
      <c r="E51" s="209"/>
    </row>
    <row r="52" spans="1:5" x14ac:dyDescent="0.2">
      <c r="A52" s="216"/>
      <c r="B52" s="217"/>
      <c r="C52" s="218"/>
      <c r="D52" s="218"/>
      <c r="E52" s="225"/>
    </row>
    <row r="53" spans="1:5" x14ac:dyDescent="0.2">
      <c r="A53" s="216"/>
      <c r="B53" s="217"/>
      <c r="C53" s="218"/>
      <c r="D53" s="218"/>
      <c r="E53" s="209"/>
    </row>
    <row r="54" spans="1:5" x14ac:dyDescent="0.2">
      <c r="A54" s="216"/>
      <c r="B54" s="217"/>
      <c r="C54" s="218"/>
      <c r="D54" s="218"/>
      <c r="E54" s="209"/>
    </row>
    <row r="55" spans="1:5" x14ac:dyDescent="0.2">
      <c r="A55" s="216"/>
      <c r="B55" s="219"/>
      <c r="C55" s="220"/>
      <c r="D55" s="220"/>
      <c r="E55" s="209"/>
    </row>
    <row r="56" spans="1:5" x14ac:dyDescent="0.2">
      <c r="A56" s="213"/>
      <c r="B56" s="221"/>
      <c r="C56" s="228"/>
      <c r="E56" s="209"/>
    </row>
    <row r="57" spans="1:5" x14ac:dyDescent="0.2">
      <c r="A57" s="213"/>
      <c r="B57" s="229"/>
      <c r="C57" s="213"/>
      <c r="E57" s="209"/>
    </row>
    <row r="58" spans="1:5" x14ac:dyDescent="0.2">
      <c r="A58" s="213"/>
      <c r="B58" s="230"/>
      <c r="C58" s="213"/>
      <c r="E58" s="209"/>
    </row>
    <row r="59" spans="1:5" x14ac:dyDescent="0.2">
      <c r="B59" s="229"/>
      <c r="C59" s="231"/>
      <c r="D59" s="225"/>
      <c r="E59" s="209"/>
    </row>
    <row r="60" spans="1:5" x14ac:dyDescent="0.2">
      <c r="A60" s="232"/>
      <c r="B60" s="229"/>
      <c r="C60" s="231"/>
      <c r="D60" s="233"/>
      <c r="E60" s="209"/>
    </row>
    <row r="61" spans="1:5" x14ac:dyDescent="0.2">
      <c r="A61" s="232"/>
      <c r="B61" s="229"/>
      <c r="C61" s="231"/>
      <c r="D61" s="233"/>
      <c r="E61" s="209"/>
    </row>
    <row r="62" spans="1:5" x14ac:dyDescent="0.2">
      <c r="A62" s="232"/>
      <c r="B62" s="229"/>
      <c r="C62" s="231"/>
      <c r="D62" s="228"/>
      <c r="E62" s="209"/>
    </row>
    <row r="63" spans="1:5" x14ac:dyDescent="0.2">
      <c r="A63" s="232"/>
      <c r="B63" s="229"/>
      <c r="C63" s="233"/>
      <c r="D63" s="233"/>
      <c r="E63" s="225"/>
    </row>
    <row r="64" spans="1:5" x14ac:dyDescent="0.2">
      <c r="A64" s="232"/>
      <c r="B64" s="229"/>
      <c r="C64" s="228"/>
      <c r="D64" s="233"/>
      <c r="E64" s="225"/>
    </row>
    <row r="65" spans="1:5" x14ac:dyDescent="0.2">
      <c r="A65" s="232"/>
      <c r="B65" s="229"/>
      <c r="C65" s="228"/>
      <c r="D65" s="233"/>
      <c r="E65" s="225"/>
    </row>
    <row r="66" spans="1:5" x14ac:dyDescent="0.2">
      <c r="A66" s="232"/>
      <c r="B66" s="229"/>
      <c r="C66" s="228"/>
      <c r="D66" s="234"/>
      <c r="E66" s="235"/>
    </row>
    <row r="67" spans="1:5" x14ac:dyDescent="0.2">
      <c r="A67" s="199"/>
      <c r="B67" s="229"/>
      <c r="C67" s="233"/>
      <c r="D67" s="234"/>
      <c r="E67" s="235"/>
    </row>
    <row r="68" spans="1:5" x14ac:dyDescent="0.2">
      <c r="A68" s="232"/>
      <c r="B68" s="236"/>
      <c r="C68" s="237"/>
      <c r="D68" s="234"/>
      <c r="E68" s="235"/>
    </row>
    <row r="69" spans="1:5" x14ac:dyDescent="0.2">
      <c r="A69" s="232"/>
      <c r="B69" s="236"/>
      <c r="C69" s="238"/>
      <c r="D69" s="237"/>
      <c r="E69" s="239"/>
    </row>
    <row r="70" spans="1:5" x14ac:dyDescent="0.2">
      <c r="A70" s="240"/>
      <c r="B70" s="241"/>
      <c r="C70" s="238"/>
      <c r="D70" s="237"/>
      <c r="E70" s="239"/>
    </row>
    <row r="71" spans="1:5" x14ac:dyDescent="0.2">
      <c r="A71" s="242"/>
      <c r="B71" s="236"/>
      <c r="C71" s="237"/>
      <c r="D71" s="237"/>
      <c r="E71" s="239"/>
    </row>
    <row r="72" spans="1:5" x14ac:dyDescent="0.2">
      <c r="A72" s="243"/>
      <c r="B72" s="244"/>
      <c r="C72" s="245"/>
      <c r="D72" s="238"/>
      <c r="E72" s="239"/>
    </row>
    <row r="73" spans="1:5" x14ac:dyDescent="0.2">
      <c r="A73" s="243"/>
      <c r="B73" s="244"/>
      <c r="C73" s="246"/>
      <c r="D73" s="238"/>
      <c r="E73" s="239"/>
    </row>
    <row r="74" spans="1:5" x14ac:dyDescent="0.2">
      <c r="A74" s="216"/>
      <c r="B74" s="217"/>
      <c r="C74" s="237"/>
      <c r="D74" s="237"/>
      <c r="E74" s="235"/>
    </row>
    <row r="75" spans="1:5" x14ac:dyDescent="0.2">
      <c r="A75" s="216"/>
      <c r="B75" s="217"/>
      <c r="C75" s="237"/>
      <c r="D75" s="238"/>
      <c r="E75" s="239"/>
    </row>
    <row r="76" spans="1:5" x14ac:dyDescent="0.2">
      <c r="A76" s="216"/>
      <c r="B76" s="217"/>
      <c r="C76" s="237"/>
      <c r="D76" s="237"/>
      <c r="E76" s="247"/>
    </row>
    <row r="77" spans="1:5" x14ac:dyDescent="0.2">
      <c r="A77" s="216"/>
      <c r="B77" s="217"/>
      <c r="C77" s="237"/>
      <c r="D77" s="237"/>
      <c r="E77" s="239"/>
    </row>
    <row r="78" spans="1:5" x14ac:dyDescent="0.2">
      <c r="A78" s="216"/>
      <c r="B78" s="217"/>
      <c r="C78" s="237"/>
      <c r="D78" s="237"/>
      <c r="E78" s="239"/>
    </row>
    <row r="79" spans="1:5" x14ac:dyDescent="0.2">
      <c r="A79" s="216"/>
      <c r="B79" s="217"/>
      <c r="C79" s="237"/>
      <c r="D79" s="237"/>
      <c r="E79" s="248"/>
    </row>
    <row r="80" spans="1:5" x14ac:dyDescent="0.2">
      <c r="A80" s="216"/>
      <c r="B80" s="217"/>
      <c r="C80" s="237"/>
      <c r="D80" s="237"/>
      <c r="E80" s="237"/>
    </row>
    <row r="81" spans="1:5" x14ac:dyDescent="0.2">
      <c r="A81" s="216"/>
      <c r="B81" s="217"/>
      <c r="C81" s="237"/>
      <c r="D81" s="237"/>
      <c r="E81" s="237"/>
    </row>
    <row r="82" spans="1:5" x14ac:dyDescent="0.2">
      <c r="A82" s="216"/>
      <c r="B82" s="217"/>
      <c r="C82" s="237"/>
      <c r="D82" s="237"/>
      <c r="E82" s="237"/>
    </row>
    <row r="83" spans="1:5" x14ac:dyDescent="0.2">
      <c r="A83" s="216"/>
      <c r="B83" s="217"/>
      <c r="C83" s="237"/>
      <c r="D83" s="237"/>
      <c r="E83" s="237"/>
    </row>
    <row r="84" spans="1:5" x14ac:dyDescent="0.2">
      <c r="A84" s="216"/>
      <c r="B84" s="217"/>
      <c r="C84" s="237"/>
      <c r="D84" s="237"/>
      <c r="E84" s="237"/>
    </row>
    <row r="85" spans="1:5" x14ac:dyDescent="0.2">
      <c r="A85" s="216"/>
      <c r="B85" s="217"/>
      <c r="C85" s="237"/>
      <c r="D85" s="237"/>
      <c r="E85" s="237"/>
    </row>
    <row r="86" spans="1:5" x14ac:dyDescent="0.2">
      <c r="A86" s="216"/>
      <c r="B86" s="217"/>
      <c r="C86" s="237"/>
      <c r="D86" s="237"/>
      <c r="E86" s="237"/>
    </row>
    <row r="87" spans="1:5" x14ac:dyDescent="0.2">
      <c r="A87" s="216"/>
      <c r="B87" s="217"/>
      <c r="C87" s="237"/>
      <c r="D87" s="237"/>
      <c r="E87" s="237"/>
    </row>
    <row r="88" spans="1:5" x14ac:dyDescent="0.2">
      <c r="A88" s="216"/>
      <c r="B88" s="217"/>
      <c r="C88" s="237"/>
      <c r="D88" s="237"/>
      <c r="E88" s="237"/>
    </row>
    <row r="89" spans="1:5" x14ac:dyDescent="0.2">
      <c r="C89" s="250"/>
      <c r="D89" s="237"/>
      <c r="E89" s="250"/>
    </row>
    <row r="90" spans="1:5" x14ac:dyDescent="0.2">
      <c r="C90" s="200"/>
      <c r="D90" s="237"/>
      <c r="E90" s="250"/>
    </row>
    <row r="91" spans="1:5" x14ac:dyDescent="0.2">
      <c r="C91" s="200"/>
      <c r="D91" s="237"/>
      <c r="E91" s="250"/>
    </row>
    <row r="92" spans="1:5" x14ac:dyDescent="0.2">
      <c r="C92" s="200"/>
      <c r="D92" s="250"/>
      <c r="E92" s="250"/>
    </row>
    <row r="93" spans="1:5" x14ac:dyDescent="0.2">
      <c r="C93" s="200"/>
      <c r="D93" s="200"/>
      <c r="E93" s="250"/>
    </row>
    <row r="94" spans="1:5" x14ac:dyDescent="0.2">
      <c r="C94" s="200"/>
      <c r="D94" s="200"/>
      <c r="E94" s="200"/>
    </row>
    <row r="95" spans="1:5" x14ac:dyDescent="0.2">
      <c r="C95" s="200"/>
      <c r="D95" s="200"/>
      <c r="E95" s="200"/>
    </row>
    <row r="96" spans="1:5" x14ac:dyDescent="0.2">
      <c r="C96" s="200"/>
      <c r="D96" s="200"/>
      <c r="E96" s="200"/>
    </row>
    <row r="97" spans="3:5" x14ac:dyDescent="0.2">
      <c r="C97" s="200"/>
      <c r="D97" s="200"/>
      <c r="E97" s="200"/>
    </row>
    <row r="98" spans="3:5" x14ac:dyDescent="0.2">
      <c r="C98" s="200"/>
      <c r="D98" s="200"/>
      <c r="E98" s="200"/>
    </row>
    <row r="99" spans="3:5" x14ac:dyDescent="0.2">
      <c r="C99" s="200"/>
      <c r="D99" s="200"/>
      <c r="E99" s="200"/>
    </row>
    <row r="100" spans="3:5" x14ac:dyDescent="0.2">
      <c r="C100" s="200"/>
      <c r="D100" s="200"/>
      <c r="E100" s="200"/>
    </row>
    <row r="101" spans="3:5" x14ac:dyDescent="0.2">
      <c r="C101" s="200"/>
      <c r="D101" s="200"/>
      <c r="E101" s="200"/>
    </row>
    <row r="102" spans="3:5" x14ac:dyDescent="0.2">
      <c r="C102" s="200"/>
      <c r="D102" s="200"/>
      <c r="E102" s="200"/>
    </row>
    <row r="103" spans="3:5" x14ac:dyDescent="0.2">
      <c r="C103" s="200"/>
      <c r="D103" s="200"/>
      <c r="E103" s="200"/>
    </row>
    <row r="104" spans="3:5" x14ac:dyDescent="0.2">
      <c r="C104" s="200"/>
      <c r="D104" s="200"/>
      <c r="E104" s="200"/>
    </row>
    <row r="105" spans="3:5" x14ac:dyDescent="0.2">
      <c r="C105" s="200"/>
      <c r="D105" s="200"/>
      <c r="E105" s="200"/>
    </row>
    <row r="106" spans="3:5" x14ac:dyDescent="0.2">
      <c r="C106" s="200"/>
      <c r="D106" s="200"/>
      <c r="E106" s="200"/>
    </row>
    <row r="107" spans="3:5" x14ac:dyDescent="0.2">
      <c r="C107" s="200"/>
      <c r="D107" s="200"/>
      <c r="E107" s="200"/>
    </row>
    <row r="108" spans="3:5" x14ac:dyDescent="0.2">
      <c r="C108" s="200"/>
      <c r="D108" s="200"/>
      <c r="E108" s="200"/>
    </row>
    <row r="109" spans="3:5" x14ac:dyDescent="0.2">
      <c r="C109" s="200"/>
      <c r="D109" s="200"/>
      <c r="E109" s="200"/>
    </row>
    <row r="110" spans="3:5" x14ac:dyDescent="0.2">
      <c r="C110" s="200"/>
      <c r="D110" s="200"/>
      <c r="E110" s="200"/>
    </row>
    <row r="111" spans="3:5" x14ac:dyDescent="0.2">
      <c r="C111" s="200"/>
      <c r="D111" s="200"/>
      <c r="E111" s="200"/>
    </row>
    <row r="112" spans="3:5" x14ac:dyDescent="0.2">
      <c r="C112" s="200"/>
      <c r="D112" s="200"/>
      <c r="E112" s="200"/>
    </row>
    <row r="113" spans="3:5" x14ac:dyDescent="0.2">
      <c r="C113" s="200"/>
      <c r="D113" s="200"/>
      <c r="E113" s="200"/>
    </row>
    <row r="114" spans="3:5" x14ac:dyDescent="0.2">
      <c r="C114" s="200"/>
      <c r="D114" s="200"/>
      <c r="E114" s="200"/>
    </row>
    <row r="115" spans="3:5" x14ac:dyDescent="0.2">
      <c r="C115" s="200"/>
      <c r="D115" s="200"/>
      <c r="E115" s="200"/>
    </row>
    <row r="116" spans="3:5" x14ac:dyDescent="0.2">
      <c r="C116" s="200"/>
      <c r="D116" s="200"/>
      <c r="E116" s="200"/>
    </row>
    <row r="117" spans="3:5" x14ac:dyDescent="0.2">
      <c r="C117" s="200"/>
      <c r="D117" s="200"/>
      <c r="E117" s="200"/>
    </row>
    <row r="118" spans="3:5" x14ac:dyDescent="0.2">
      <c r="C118" s="200"/>
      <c r="D118" s="200"/>
      <c r="E118" s="200"/>
    </row>
    <row r="119" spans="3:5" x14ac:dyDescent="0.2">
      <c r="C119" s="200"/>
      <c r="D119" s="200"/>
      <c r="E119" s="200"/>
    </row>
    <row r="120" spans="3:5" x14ac:dyDescent="0.2">
      <c r="C120" s="200"/>
      <c r="D120" s="200"/>
      <c r="E120" s="200"/>
    </row>
    <row r="121" spans="3:5" x14ac:dyDescent="0.2">
      <c r="C121" s="200"/>
      <c r="D121" s="200"/>
      <c r="E121" s="200"/>
    </row>
    <row r="122" spans="3:5" x14ac:dyDescent="0.2">
      <c r="D122" s="200"/>
      <c r="E122" s="200"/>
    </row>
    <row r="123" spans="3:5" x14ac:dyDescent="0.2">
      <c r="D123" s="200"/>
      <c r="E123" s="200"/>
    </row>
    <row r="124" spans="3:5" x14ac:dyDescent="0.2">
      <c r="D124" s="200"/>
      <c r="E124" s="200"/>
    </row>
    <row r="125" spans="3:5" x14ac:dyDescent="0.2">
      <c r="E125" s="200"/>
    </row>
  </sheetData>
  <mergeCells count="4">
    <mergeCell ref="A1:D1"/>
    <mergeCell ref="A3:D3"/>
    <mergeCell ref="A5:D5"/>
    <mergeCell ref="C7:D7"/>
  </mergeCells>
  <phoneticPr fontId="39" type="noConversion"/>
  <printOptions horizontalCentered="1"/>
  <pageMargins left="0.74803149606299213" right="0.74803149606299213" top="0.19685039370078741" bottom="0.98425196850393704" header="0.51181102362204722" footer="0.51181102362204722"/>
  <pageSetup paperSize="9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7" style="265" customWidth="1"/>
    <col min="2" max="2" width="35.140625" style="200" customWidth="1"/>
    <col min="3" max="3" width="16.5703125" style="200" customWidth="1"/>
    <col min="4" max="4" width="13.42578125" style="200" customWidth="1"/>
    <col min="5" max="5" width="14.5703125" style="200" customWidth="1"/>
    <col min="6" max="16384" width="9.140625" style="200"/>
  </cols>
  <sheetData>
    <row r="1" spans="1:18" s="187" customFormat="1" ht="27.75" customHeight="1" x14ac:dyDescent="0.2">
      <c r="A1" s="520"/>
      <c r="B1" s="521"/>
      <c r="C1" s="521"/>
      <c r="D1" s="521"/>
      <c r="E1" s="185"/>
      <c r="F1" s="185"/>
      <c r="G1" s="185"/>
      <c r="H1" s="185" t="s">
        <v>98</v>
      </c>
      <c r="I1" s="185"/>
      <c r="J1" s="186"/>
      <c r="K1" s="186"/>
      <c r="L1" s="186"/>
      <c r="M1" s="186"/>
      <c r="N1" s="186"/>
      <c r="O1" s="186"/>
      <c r="P1" s="186"/>
      <c r="Q1" s="186"/>
      <c r="R1" s="186"/>
    </row>
    <row r="2" spans="1:18" s="187" customFormat="1" ht="12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187" customFormat="1" ht="28.5" customHeight="1" x14ac:dyDescent="0.2">
      <c r="A3" s="526" t="s">
        <v>402</v>
      </c>
      <c r="B3" s="527"/>
      <c r="C3" s="527"/>
      <c r="D3" s="527"/>
      <c r="E3" s="190"/>
      <c r="F3" s="190"/>
      <c r="G3" s="190"/>
      <c r="H3" s="190"/>
      <c r="I3" s="190"/>
      <c r="J3" s="186"/>
      <c r="K3" s="186"/>
      <c r="L3" s="186"/>
      <c r="M3" s="186"/>
      <c r="N3" s="186"/>
      <c r="O3" s="186"/>
      <c r="P3" s="186"/>
      <c r="Q3" s="186"/>
      <c r="R3" s="186"/>
    </row>
    <row r="4" spans="1:18" s="187" customFormat="1" ht="12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3"/>
      <c r="K4" s="189"/>
      <c r="L4" s="189"/>
      <c r="M4" s="189"/>
      <c r="N4" s="189"/>
      <c r="O4" s="189"/>
      <c r="P4" s="189"/>
      <c r="Q4" s="189"/>
      <c r="R4" s="189"/>
    </row>
    <row r="5" spans="1:18" s="187" customFormat="1" ht="33" customHeight="1" x14ac:dyDescent="0.25">
      <c r="A5" s="522" t="s">
        <v>311</v>
      </c>
      <c r="B5" s="523"/>
      <c r="C5" s="523"/>
      <c r="D5" s="523"/>
      <c r="E5" s="194"/>
      <c r="F5" s="194"/>
      <c r="G5" s="194"/>
      <c r="H5" s="194"/>
      <c r="I5" s="194"/>
      <c r="J5" s="195"/>
      <c r="K5" s="195"/>
      <c r="L5" s="195"/>
      <c r="M5" s="195"/>
      <c r="N5" s="195"/>
      <c r="O5" s="195"/>
      <c r="P5" s="195"/>
      <c r="Q5" s="195"/>
      <c r="R5" s="195"/>
    </row>
    <row r="6" spans="1:18" s="187" customFormat="1" ht="12" x14ac:dyDescent="0.2">
      <c r="A6" s="191"/>
      <c r="B6" s="192"/>
      <c r="C6" s="192"/>
      <c r="D6" s="192"/>
      <c r="E6" s="192"/>
      <c r="F6" s="192"/>
      <c r="G6" s="192"/>
      <c r="H6" s="192"/>
      <c r="I6" s="192"/>
      <c r="J6" s="193"/>
      <c r="K6" s="189"/>
      <c r="L6" s="189"/>
      <c r="M6" s="189"/>
      <c r="N6" s="189"/>
      <c r="O6" s="189"/>
      <c r="P6" s="189"/>
      <c r="Q6" s="189"/>
      <c r="R6" s="189"/>
    </row>
    <row r="7" spans="1:18" s="187" customFormat="1" ht="13.5" thickBot="1" x14ac:dyDescent="0.25">
      <c r="A7" s="196"/>
      <c r="B7" s="196"/>
      <c r="C7" s="515" t="s">
        <v>305</v>
      </c>
      <c r="D7" s="515"/>
      <c r="E7" s="196"/>
      <c r="F7" s="196"/>
      <c r="G7" s="196"/>
      <c r="H7" s="196"/>
      <c r="I7" s="186"/>
      <c r="J7" s="186"/>
      <c r="K7" s="186"/>
      <c r="L7" s="186"/>
      <c r="M7" s="186"/>
      <c r="N7" s="186"/>
      <c r="O7" s="186"/>
      <c r="P7" s="186"/>
      <c r="Q7" s="186"/>
      <c r="R7" s="186"/>
    </row>
    <row r="8" spans="1:18" s="187" customFormat="1" x14ac:dyDescent="0.2">
      <c r="A8" s="359" t="s">
        <v>52</v>
      </c>
      <c r="B8" s="360" t="s">
        <v>60</v>
      </c>
      <c r="C8" s="360" t="s">
        <v>53</v>
      </c>
      <c r="D8" s="395" t="s">
        <v>54</v>
      </c>
      <c r="E8" s="361" t="s">
        <v>55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18" ht="25.5" x14ac:dyDescent="0.25">
      <c r="A9" s="362" t="s">
        <v>267</v>
      </c>
      <c r="B9" s="300" t="s">
        <v>268</v>
      </c>
      <c r="C9" s="301" t="s">
        <v>269</v>
      </c>
      <c r="D9" s="396" t="s">
        <v>266</v>
      </c>
      <c r="E9" s="399" t="s">
        <v>416</v>
      </c>
    </row>
    <row r="10" spans="1:18" ht="31.35" customHeight="1" x14ac:dyDescent="0.2">
      <c r="A10" s="363">
        <v>1</v>
      </c>
      <c r="B10" s="251" t="s">
        <v>270</v>
      </c>
      <c r="C10" s="252">
        <f>'3.mellékletPH.bev.'!V8</f>
        <v>122214872</v>
      </c>
      <c r="D10" s="397">
        <f>'6.melléklet.Kiadások.Önk.'!AU54</f>
        <v>128363672</v>
      </c>
      <c r="E10" s="427">
        <v>59797287</v>
      </c>
    </row>
    <row r="11" spans="1:18" ht="31.35" customHeight="1" x14ac:dyDescent="0.2">
      <c r="A11" s="363">
        <v>2</v>
      </c>
      <c r="B11" s="253" t="s">
        <v>271</v>
      </c>
      <c r="C11" s="254">
        <f>'5. Óvoda bev'!V6</f>
        <v>211650423</v>
      </c>
      <c r="D11" s="397">
        <f>'6.melléklet.Kiadások.Önk.'!AU57</f>
        <v>223190968</v>
      </c>
      <c r="E11" s="427">
        <v>96064656</v>
      </c>
    </row>
    <row r="12" spans="1:18" ht="31.35" customHeight="1" x14ac:dyDescent="0.2">
      <c r="A12" s="363">
        <v>3</v>
      </c>
      <c r="B12" s="253" t="s">
        <v>272</v>
      </c>
      <c r="C12" s="254">
        <f>'4 ESZI bev'!Y18</f>
        <v>228592194</v>
      </c>
      <c r="D12" s="397">
        <f ca="1">'6.melléklet.Kiadások.Önk.'!AU60</f>
        <v>234607261</v>
      </c>
      <c r="E12" s="428">
        <v>119868323</v>
      </c>
    </row>
    <row r="13" spans="1:18" ht="16.5" thickBot="1" x14ac:dyDescent="0.3">
      <c r="A13" s="280"/>
      <c r="B13" s="281" t="s">
        <v>63</v>
      </c>
      <c r="C13" s="282">
        <f>C10+C11+C12</f>
        <v>562457489</v>
      </c>
      <c r="D13" s="398">
        <f ca="1">D10+D11+D12</f>
        <v>586161901</v>
      </c>
      <c r="E13" s="429">
        <f>E10+E11+E12</f>
        <v>275730266</v>
      </c>
    </row>
    <row r="14" spans="1:18" ht="15.75" x14ac:dyDescent="0.25">
      <c r="A14" s="256"/>
      <c r="B14" s="257"/>
      <c r="C14" s="258"/>
    </row>
    <row r="15" spans="1:18" x14ac:dyDescent="0.2">
      <c r="A15" s="259"/>
      <c r="B15" s="260"/>
      <c r="C15" s="258"/>
      <c r="E15" s="255"/>
    </row>
    <row r="16" spans="1:18" x14ac:dyDescent="0.2">
      <c r="A16" s="259"/>
      <c r="B16" s="260"/>
      <c r="C16" s="258"/>
    </row>
    <row r="17" spans="1:3" x14ac:dyDescent="0.2">
      <c r="A17" s="259"/>
      <c r="B17" s="261"/>
      <c r="C17" s="258"/>
    </row>
    <row r="18" spans="1:3" x14ac:dyDescent="0.2">
      <c r="A18" s="262"/>
      <c r="B18" s="263"/>
      <c r="C18" s="258"/>
    </row>
    <row r="19" spans="1:3" x14ac:dyDescent="0.2">
      <c r="A19" s="259"/>
      <c r="C19" s="258"/>
    </row>
    <row r="20" spans="1:3" x14ac:dyDescent="0.2">
      <c r="A20" s="259"/>
      <c r="B20" s="261"/>
    </row>
    <row r="21" spans="1:3" x14ac:dyDescent="0.2">
      <c r="A21" s="259"/>
      <c r="B21" s="261"/>
      <c r="C21" s="258"/>
    </row>
    <row r="22" spans="1:3" x14ac:dyDescent="0.2">
      <c r="A22" s="259"/>
      <c r="B22" s="261"/>
    </row>
    <row r="23" spans="1:3" x14ac:dyDescent="0.2">
      <c r="A23" s="259"/>
      <c r="B23" s="261"/>
      <c r="C23" s="258"/>
    </row>
    <row r="24" spans="1:3" x14ac:dyDescent="0.2">
      <c r="A24" s="259"/>
      <c r="B24" s="261"/>
    </row>
    <row r="25" spans="1:3" x14ac:dyDescent="0.2">
      <c r="A25" s="259"/>
      <c r="B25" s="261"/>
    </row>
    <row r="26" spans="1:3" x14ac:dyDescent="0.2">
      <c r="A26" s="259"/>
      <c r="B26" s="261"/>
    </row>
    <row r="27" spans="1:3" x14ac:dyDescent="0.2">
      <c r="A27" s="259"/>
      <c r="B27" s="261"/>
    </row>
    <row r="28" spans="1:3" x14ac:dyDescent="0.2">
      <c r="A28" s="259"/>
      <c r="B28" s="261"/>
    </row>
    <row r="29" spans="1:3" x14ac:dyDescent="0.2">
      <c r="A29" s="259"/>
      <c r="B29" s="261"/>
    </row>
    <row r="30" spans="1:3" x14ac:dyDescent="0.2">
      <c r="A30" s="259"/>
      <c r="B30" s="260"/>
    </row>
    <row r="31" spans="1:3" x14ac:dyDescent="0.2">
      <c r="A31" s="259"/>
      <c r="B31" s="261"/>
    </row>
    <row r="32" spans="1:3" x14ac:dyDescent="0.2">
      <c r="A32" s="264"/>
      <c r="B32" s="261"/>
    </row>
    <row r="33" spans="1:2" x14ac:dyDescent="0.2">
      <c r="A33" s="264"/>
      <c r="B33" s="261"/>
    </row>
    <row r="34" spans="1:2" x14ac:dyDescent="0.2">
      <c r="A34" s="264"/>
      <c r="B34" s="261"/>
    </row>
    <row r="35" spans="1:2" x14ac:dyDescent="0.2">
      <c r="A35" s="264"/>
      <c r="B35" s="261"/>
    </row>
    <row r="36" spans="1:2" x14ac:dyDescent="0.2">
      <c r="B36" s="261"/>
    </row>
    <row r="37" spans="1:2" x14ac:dyDescent="0.2">
      <c r="B37" s="261"/>
    </row>
    <row r="38" spans="1:2" x14ac:dyDescent="0.2">
      <c r="B38" s="261"/>
    </row>
    <row r="39" spans="1:2" x14ac:dyDescent="0.2">
      <c r="B39" s="261"/>
    </row>
    <row r="40" spans="1:2" x14ac:dyDescent="0.2">
      <c r="B40" s="261"/>
    </row>
    <row r="41" spans="1:2" x14ac:dyDescent="0.2">
      <c r="B41" s="261"/>
    </row>
    <row r="42" spans="1:2" x14ac:dyDescent="0.2">
      <c r="B42" s="261"/>
    </row>
    <row r="43" spans="1:2" x14ac:dyDescent="0.2">
      <c r="B43" s="261"/>
    </row>
    <row r="44" spans="1:2" x14ac:dyDescent="0.2">
      <c r="B44" s="261"/>
    </row>
    <row r="45" spans="1:2" x14ac:dyDescent="0.2">
      <c r="B45" s="261"/>
    </row>
    <row r="46" spans="1:2" x14ac:dyDescent="0.2">
      <c r="B46" s="261"/>
    </row>
    <row r="47" spans="1:2" x14ac:dyDescent="0.2">
      <c r="B47" s="261"/>
    </row>
    <row r="48" spans="1:2" x14ac:dyDescent="0.2">
      <c r="B48" s="261"/>
    </row>
    <row r="49" spans="2:2" x14ac:dyDescent="0.2">
      <c r="B49" s="261"/>
    </row>
    <row r="50" spans="2:2" x14ac:dyDescent="0.2">
      <c r="B50" s="261"/>
    </row>
    <row r="51" spans="2:2" x14ac:dyDescent="0.2">
      <c r="B51" s="261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4"/>
  <sheetViews>
    <sheetView topLeftCell="A7" zoomScaleNormal="100" workbookViewId="0">
      <selection activeCell="E18" sqref="E18"/>
    </sheetView>
  </sheetViews>
  <sheetFormatPr defaultColWidth="9.140625" defaultRowHeight="12.75" x14ac:dyDescent="0.2"/>
  <cols>
    <col min="1" max="1" width="6" style="200" customWidth="1"/>
    <col min="2" max="2" width="55.85546875" style="200" customWidth="1"/>
    <col min="3" max="3" width="12" style="200" customWidth="1"/>
    <col min="4" max="4" width="10.5703125" style="200" customWidth="1"/>
    <col min="5" max="5" width="10.42578125" style="200" customWidth="1"/>
    <col min="6" max="6" width="9.140625" style="200"/>
    <col min="7" max="7" width="22.42578125" style="200" customWidth="1"/>
    <col min="8" max="16384" width="9.140625" style="200"/>
  </cols>
  <sheetData>
    <row r="1" spans="1:18" s="187" customFormat="1" ht="27.75" customHeight="1" x14ac:dyDescent="0.2">
      <c r="A1" s="520"/>
      <c r="B1" s="521"/>
      <c r="C1" s="521"/>
      <c r="D1" s="521"/>
      <c r="E1" s="185"/>
      <c r="F1" s="185"/>
      <c r="G1" s="185"/>
      <c r="H1" s="185"/>
      <c r="I1" s="185"/>
      <c r="J1" s="186"/>
      <c r="K1" s="186"/>
      <c r="L1" s="186"/>
      <c r="M1" s="186"/>
      <c r="N1" s="186"/>
      <c r="O1" s="186"/>
      <c r="P1" s="186"/>
      <c r="Q1" s="186"/>
      <c r="R1" s="186"/>
    </row>
    <row r="2" spans="1:18" s="187" customFormat="1" ht="12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187" customFormat="1" ht="28.5" customHeight="1" x14ac:dyDescent="0.2">
      <c r="A3" s="524" t="s">
        <v>403</v>
      </c>
      <c r="B3" s="525"/>
      <c r="C3" s="525"/>
      <c r="D3" s="525"/>
      <c r="E3" s="190"/>
      <c r="F3" s="190"/>
      <c r="G3" s="190"/>
      <c r="H3" s="190"/>
      <c r="I3" s="190"/>
      <c r="J3" s="186"/>
      <c r="K3" s="186"/>
      <c r="L3" s="186"/>
      <c r="M3" s="186"/>
      <c r="N3" s="186"/>
      <c r="O3" s="186"/>
      <c r="P3" s="186"/>
      <c r="Q3" s="186"/>
      <c r="R3" s="186"/>
    </row>
    <row r="4" spans="1:18" s="187" customFormat="1" ht="12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3"/>
      <c r="K4" s="189"/>
      <c r="L4" s="189"/>
      <c r="M4" s="189"/>
      <c r="N4" s="189"/>
      <c r="O4" s="189"/>
      <c r="P4" s="189"/>
      <c r="Q4" s="189"/>
      <c r="R4" s="189"/>
    </row>
    <row r="5" spans="1:18" s="187" customFormat="1" ht="33" customHeight="1" x14ac:dyDescent="0.25">
      <c r="A5" s="522" t="s">
        <v>273</v>
      </c>
      <c r="B5" s="523"/>
      <c r="C5" s="523"/>
      <c r="D5" s="523"/>
      <c r="E5" s="194"/>
      <c r="F5" s="194"/>
      <c r="G5" s="194"/>
      <c r="H5" s="194"/>
      <c r="I5" s="194"/>
      <c r="J5" s="195"/>
      <c r="K5" s="195"/>
      <c r="L5" s="195"/>
      <c r="M5" s="195"/>
      <c r="N5" s="195"/>
      <c r="O5" s="195"/>
      <c r="P5" s="195"/>
      <c r="Q5" s="195"/>
      <c r="R5" s="195"/>
    </row>
    <row r="6" spans="1:18" s="187" customFormat="1" ht="12" x14ac:dyDescent="0.2">
      <c r="A6" s="191"/>
      <c r="B6" s="192"/>
      <c r="C6" s="192"/>
      <c r="D6" s="192"/>
      <c r="E6" s="309"/>
      <c r="F6" s="309"/>
      <c r="G6" s="309"/>
      <c r="H6" s="309"/>
      <c r="I6" s="192"/>
      <c r="J6" s="193"/>
      <c r="K6" s="189"/>
      <c r="L6" s="189"/>
      <c r="M6" s="189"/>
      <c r="N6" s="189"/>
      <c r="O6" s="189"/>
      <c r="P6" s="189"/>
      <c r="Q6" s="189"/>
      <c r="R6" s="189"/>
    </row>
    <row r="7" spans="1:18" s="187" customFormat="1" ht="13.5" thickBot="1" x14ac:dyDescent="0.25">
      <c r="A7" s="196"/>
      <c r="B7" s="196"/>
      <c r="C7" s="515" t="s">
        <v>303</v>
      </c>
      <c r="D7" s="515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</row>
    <row r="8" spans="1:18" s="187" customFormat="1" ht="20.25" customHeight="1" thickBot="1" x14ac:dyDescent="0.25">
      <c r="A8" s="310" t="s">
        <v>52</v>
      </c>
      <c r="B8" s="311" t="s">
        <v>60</v>
      </c>
      <c r="C8" s="311" t="s">
        <v>53</v>
      </c>
      <c r="D8" s="400" t="s">
        <v>54</v>
      </c>
      <c r="E8" s="312" t="s">
        <v>55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18" ht="27.75" customHeight="1" x14ac:dyDescent="0.25">
      <c r="A9" s="302"/>
      <c r="B9" s="303" t="s">
        <v>61</v>
      </c>
      <c r="C9" s="304" t="s">
        <v>308</v>
      </c>
      <c r="D9" s="401" t="s">
        <v>309</v>
      </c>
      <c r="E9" s="408" t="s">
        <v>416</v>
      </c>
    </row>
    <row r="10" spans="1:18" x14ac:dyDescent="0.2">
      <c r="A10" s="266" t="s">
        <v>274</v>
      </c>
      <c r="B10" s="267" t="s">
        <v>43</v>
      </c>
      <c r="C10" s="268"/>
      <c r="D10" s="402"/>
      <c r="E10" s="435"/>
    </row>
    <row r="11" spans="1:18" ht="15" customHeight="1" x14ac:dyDescent="0.2">
      <c r="A11" s="305" t="s">
        <v>1</v>
      </c>
      <c r="B11" s="204" t="s">
        <v>275</v>
      </c>
      <c r="C11" s="204"/>
      <c r="D11" s="403"/>
      <c r="E11" s="435"/>
    </row>
    <row r="12" spans="1:18" x14ac:dyDescent="0.2">
      <c r="A12" s="305" t="s">
        <v>3</v>
      </c>
      <c r="B12" s="207" t="s">
        <v>63</v>
      </c>
      <c r="C12" s="207">
        <f>C11</f>
        <v>0</v>
      </c>
      <c r="D12" s="404">
        <f>D11</f>
        <v>0</v>
      </c>
      <c r="E12" s="435"/>
    </row>
    <row r="13" spans="1:18" x14ac:dyDescent="0.2">
      <c r="A13" s="305" t="s">
        <v>4</v>
      </c>
      <c r="B13" s="204" t="s">
        <v>359</v>
      </c>
      <c r="C13" s="204"/>
      <c r="D13" s="403"/>
      <c r="E13" s="435"/>
      <c r="F13" s="202"/>
      <c r="G13" s="203"/>
    </row>
    <row r="14" spans="1:18" x14ac:dyDescent="0.2">
      <c r="A14" s="305" t="s">
        <v>6</v>
      </c>
      <c r="B14" s="269" t="s">
        <v>276</v>
      </c>
      <c r="C14" s="204">
        <f>62335*12</f>
        <v>748020</v>
      </c>
      <c r="D14" s="403">
        <f>C14</f>
        <v>748020</v>
      </c>
      <c r="E14" s="206">
        <v>369954</v>
      </c>
      <c r="F14" s="203"/>
      <c r="G14" s="203"/>
    </row>
    <row r="15" spans="1:18" x14ac:dyDescent="0.2">
      <c r="A15" s="305" t="s">
        <v>8</v>
      </c>
      <c r="B15" s="269" t="s">
        <v>277</v>
      </c>
      <c r="C15" s="204">
        <f>306880*12</f>
        <v>3682560</v>
      </c>
      <c r="D15" s="403">
        <f t="shared" ref="D15:D26" si="0">C15</f>
        <v>3682560</v>
      </c>
      <c r="E15" s="206">
        <v>1821312</v>
      </c>
      <c r="F15" s="203"/>
      <c r="G15" s="203"/>
    </row>
    <row r="16" spans="1:18" x14ac:dyDescent="0.2">
      <c r="A16" s="305" t="s">
        <v>19</v>
      </c>
      <c r="B16" s="269" t="s">
        <v>278</v>
      </c>
      <c r="C16" s="204">
        <f>239750*12</f>
        <v>2877000</v>
      </c>
      <c r="D16" s="403">
        <f t="shared" si="0"/>
        <v>2877000</v>
      </c>
      <c r="E16" s="206">
        <v>948600</v>
      </c>
      <c r="F16" s="203"/>
      <c r="G16" s="203"/>
    </row>
    <row r="17" spans="1:7" x14ac:dyDescent="0.2">
      <c r="A17" s="305" t="s">
        <v>21</v>
      </c>
      <c r="B17" s="269" t="s">
        <v>279</v>
      </c>
      <c r="C17" s="204">
        <f>38360*12</f>
        <v>460320</v>
      </c>
      <c r="D17" s="403">
        <f t="shared" si="0"/>
        <v>460320</v>
      </c>
      <c r="E17" s="206">
        <v>227664</v>
      </c>
      <c r="F17" s="203"/>
      <c r="G17" s="203"/>
    </row>
    <row r="18" spans="1:7" ht="18" customHeight="1" x14ac:dyDescent="0.2">
      <c r="A18" s="305" t="s">
        <v>22</v>
      </c>
      <c r="B18" s="201" t="s">
        <v>280</v>
      </c>
      <c r="C18" s="204">
        <v>0</v>
      </c>
      <c r="D18" s="403">
        <f t="shared" si="0"/>
        <v>0</v>
      </c>
      <c r="E18" s="206"/>
      <c r="F18" s="210"/>
      <c r="G18" s="203"/>
    </row>
    <row r="19" spans="1:7" x14ac:dyDescent="0.2">
      <c r="A19" s="305" t="s">
        <v>24</v>
      </c>
      <c r="B19" s="269" t="s">
        <v>281</v>
      </c>
      <c r="C19" s="204">
        <v>0</v>
      </c>
      <c r="D19" s="403">
        <f t="shared" si="0"/>
        <v>0</v>
      </c>
      <c r="E19" s="206"/>
      <c r="F19" s="202"/>
      <c r="G19" s="203"/>
    </row>
    <row r="20" spans="1:7" ht="25.5" x14ac:dyDescent="0.2">
      <c r="A20" s="305" t="s">
        <v>25</v>
      </c>
      <c r="B20" s="201" t="s">
        <v>282</v>
      </c>
      <c r="C20" s="204"/>
      <c r="D20" s="403">
        <f t="shared" si="0"/>
        <v>0</v>
      </c>
      <c r="E20" s="435"/>
      <c r="F20" s="270"/>
      <c r="G20" s="218"/>
    </row>
    <row r="21" spans="1:7" ht="25.5" x14ac:dyDescent="0.2">
      <c r="A21" s="305" t="s">
        <v>26</v>
      </c>
      <c r="B21" s="201" t="s">
        <v>283</v>
      </c>
      <c r="C21" s="204">
        <v>2000000</v>
      </c>
      <c r="D21" s="403">
        <f t="shared" si="0"/>
        <v>2000000</v>
      </c>
      <c r="E21" s="206">
        <v>800000</v>
      </c>
      <c r="F21" s="270"/>
      <c r="G21" s="218"/>
    </row>
    <row r="22" spans="1:7" x14ac:dyDescent="0.2">
      <c r="A22" s="305" t="s">
        <v>28</v>
      </c>
      <c r="B22" s="269" t="s">
        <v>284</v>
      </c>
      <c r="C22" s="204">
        <v>700000</v>
      </c>
      <c r="D22" s="403">
        <f t="shared" si="0"/>
        <v>700000</v>
      </c>
      <c r="E22" s="435"/>
      <c r="F22" s="270"/>
      <c r="G22" s="218"/>
    </row>
    <row r="23" spans="1:7" x14ac:dyDescent="0.2">
      <c r="A23" s="305" t="s">
        <v>29</v>
      </c>
      <c r="B23" s="269" t="s">
        <v>285</v>
      </c>
      <c r="C23" s="204">
        <v>220800</v>
      </c>
      <c r="D23" s="403">
        <f t="shared" si="0"/>
        <v>220800</v>
      </c>
      <c r="E23" s="206">
        <v>114000</v>
      </c>
      <c r="F23" s="270"/>
      <c r="G23" s="218"/>
    </row>
    <row r="24" spans="1:7" x14ac:dyDescent="0.2">
      <c r="A24" s="305" t="s">
        <v>32</v>
      </c>
      <c r="B24" s="269" t="s">
        <v>286</v>
      </c>
      <c r="C24" s="204">
        <v>25006621</v>
      </c>
      <c r="D24" s="403">
        <f t="shared" si="0"/>
        <v>25006621</v>
      </c>
      <c r="E24" s="206">
        <v>15588567</v>
      </c>
      <c r="F24" s="270"/>
      <c r="G24" s="218"/>
    </row>
    <row r="25" spans="1:7" x14ac:dyDescent="0.2">
      <c r="A25" s="305" t="s">
        <v>34</v>
      </c>
      <c r="B25" s="269" t="s">
        <v>312</v>
      </c>
      <c r="C25" s="204">
        <v>500000</v>
      </c>
      <c r="D25" s="403">
        <f t="shared" si="0"/>
        <v>500000</v>
      </c>
      <c r="E25" s="206">
        <v>50000</v>
      </c>
      <c r="F25" s="270"/>
      <c r="G25" s="218"/>
    </row>
    <row r="26" spans="1:7" ht="25.5" customHeight="1" x14ac:dyDescent="0.2">
      <c r="A26" s="305" t="s">
        <v>56</v>
      </c>
      <c r="B26" s="201" t="s">
        <v>287</v>
      </c>
      <c r="C26" s="204">
        <v>100000</v>
      </c>
      <c r="D26" s="403">
        <f t="shared" si="0"/>
        <v>100000</v>
      </c>
      <c r="E26" s="435"/>
      <c r="F26" s="218"/>
      <c r="G26" s="218"/>
    </row>
    <row r="27" spans="1:7" s="273" customFormat="1" x14ac:dyDescent="0.2">
      <c r="A27" s="305" t="s">
        <v>136</v>
      </c>
      <c r="B27" s="207" t="s">
        <v>63</v>
      </c>
      <c r="C27" s="207">
        <f>SUM(C13:C26)</f>
        <v>36295321</v>
      </c>
      <c r="D27" s="404">
        <f>SUM(D14:D26)</f>
        <v>36295321</v>
      </c>
      <c r="E27" s="404">
        <f>SUM(E14:E26)</f>
        <v>19920097</v>
      </c>
    </row>
    <row r="28" spans="1:7" s="273" customFormat="1" x14ac:dyDescent="0.2">
      <c r="A28" s="305" t="s">
        <v>137</v>
      </c>
      <c r="B28" s="207"/>
      <c r="C28" s="207"/>
      <c r="D28" s="404"/>
      <c r="E28" s="436"/>
    </row>
    <row r="29" spans="1:7" s="273" customFormat="1" x14ac:dyDescent="0.2">
      <c r="A29" s="305" t="s">
        <v>138</v>
      </c>
      <c r="B29" s="207" t="s">
        <v>415</v>
      </c>
      <c r="C29" s="207">
        <f>C30+C31</f>
        <v>0</v>
      </c>
      <c r="D29" s="404">
        <v>7619425</v>
      </c>
      <c r="E29" s="436"/>
    </row>
    <row r="30" spans="1:7" s="273" customFormat="1" x14ac:dyDescent="0.2">
      <c r="A30" s="305" t="s">
        <v>139</v>
      </c>
      <c r="B30" s="204"/>
      <c r="C30" s="207"/>
      <c r="D30" s="403"/>
      <c r="E30" s="436"/>
    </row>
    <row r="31" spans="1:7" s="273" customFormat="1" x14ac:dyDescent="0.2">
      <c r="A31" s="305" t="s">
        <v>140</v>
      </c>
      <c r="B31" s="204"/>
      <c r="C31" s="204"/>
      <c r="D31" s="403"/>
      <c r="E31" s="436"/>
    </row>
    <row r="32" spans="1:7" s="273" customFormat="1" x14ac:dyDescent="0.2">
      <c r="A32" s="305" t="s">
        <v>141</v>
      </c>
      <c r="B32" s="201"/>
      <c r="C32" s="271"/>
      <c r="D32" s="403"/>
      <c r="E32" s="436"/>
    </row>
    <row r="33" spans="1:6" s="273" customFormat="1" ht="15.75" customHeight="1" x14ac:dyDescent="0.2">
      <c r="A33" s="305" t="s">
        <v>142</v>
      </c>
      <c r="B33" s="207" t="s">
        <v>288</v>
      </c>
      <c r="C33" s="207">
        <f>C27+C29+C12</f>
        <v>36295321</v>
      </c>
      <c r="D33" s="404">
        <f>D27+D29+D12</f>
        <v>43914746</v>
      </c>
      <c r="E33" s="404">
        <f>E27+E29+E12</f>
        <v>19920097</v>
      </c>
      <c r="F33" s="274"/>
    </row>
    <row r="34" spans="1:6" s="273" customFormat="1" ht="15.75" customHeight="1" thickBot="1" x14ac:dyDescent="0.25">
      <c r="A34" s="351" t="s">
        <v>143</v>
      </c>
      <c r="B34" s="352"/>
      <c r="C34" s="352"/>
      <c r="D34" s="405"/>
      <c r="E34" s="437"/>
      <c r="F34" s="274"/>
    </row>
    <row r="35" spans="1:6" ht="16.5" customHeight="1" x14ac:dyDescent="0.2">
      <c r="A35" s="353" t="s">
        <v>310</v>
      </c>
      <c r="B35" s="354" t="s">
        <v>289</v>
      </c>
      <c r="C35" s="355"/>
      <c r="D35" s="406"/>
      <c r="E35" s="438"/>
    </row>
    <row r="36" spans="1:6" ht="13.5" thickBot="1" x14ac:dyDescent="0.25">
      <c r="A36" s="275"/>
      <c r="B36" s="211" t="s">
        <v>290</v>
      </c>
      <c r="C36" s="211">
        <f>C33</f>
        <v>36295321</v>
      </c>
      <c r="D36" s="407">
        <f>D33</f>
        <v>43914746</v>
      </c>
      <c r="E36" s="407">
        <f>E33</f>
        <v>19920097</v>
      </c>
    </row>
    <row r="37" spans="1:6" x14ac:dyDescent="0.2">
      <c r="A37" s="218"/>
      <c r="B37" s="218"/>
      <c r="C37" s="218"/>
    </row>
    <row r="38" spans="1:6" x14ac:dyDescent="0.2">
      <c r="A38" s="218"/>
      <c r="B38" s="270"/>
      <c r="C38" s="218"/>
    </row>
    <row r="39" spans="1:6" x14ac:dyDescent="0.2">
      <c r="A39" s="218"/>
      <c r="B39" s="270"/>
      <c r="C39" s="218"/>
    </row>
    <row r="40" spans="1:6" x14ac:dyDescent="0.2">
      <c r="A40" s="218"/>
      <c r="B40" s="270"/>
      <c r="C40" s="218"/>
    </row>
    <row r="41" spans="1:6" x14ac:dyDescent="0.2">
      <c r="A41" s="218"/>
      <c r="B41" s="270"/>
      <c r="C41" s="218"/>
    </row>
    <row r="42" spans="1:6" x14ac:dyDescent="0.2">
      <c r="A42" s="218"/>
      <c r="B42" s="270"/>
      <c r="C42" s="218"/>
    </row>
    <row r="43" spans="1:6" x14ac:dyDescent="0.2">
      <c r="A43" s="218"/>
      <c r="B43" s="220"/>
      <c r="C43" s="220"/>
    </row>
    <row r="44" spans="1:6" x14ac:dyDescent="0.2">
      <c r="A44" s="218"/>
      <c r="C44" s="218"/>
    </row>
    <row r="45" spans="1:6" x14ac:dyDescent="0.2">
      <c r="A45" s="218"/>
      <c r="B45" s="218"/>
      <c r="C45" s="218"/>
    </row>
    <row r="46" spans="1:6" x14ac:dyDescent="0.2">
      <c r="A46" s="220"/>
      <c r="B46" s="220"/>
      <c r="C46" s="220"/>
    </row>
    <row r="47" spans="1:6" x14ac:dyDescent="0.2">
      <c r="A47" s="218"/>
      <c r="B47" s="218"/>
      <c r="C47" s="218"/>
    </row>
    <row r="48" spans="1:6" x14ac:dyDescent="0.2">
      <c r="A48" s="218"/>
      <c r="B48" s="218"/>
      <c r="C48" s="218"/>
    </row>
    <row r="49" spans="1:3" x14ac:dyDescent="0.2">
      <c r="A49" s="218"/>
      <c r="C49" s="218"/>
    </row>
    <row r="50" spans="1:3" hidden="1" x14ac:dyDescent="0.2">
      <c r="A50" s="218"/>
      <c r="B50" s="218"/>
      <c r="C50" s="218"/>
    </row>
    <row r="51" spans="1:3" x14ac:dyDescent="0.2">
      <c r="A51" s="216"/>
      <c r="B51" s="216"/>
      <c r="C51" s="218"/>
    </row>
    <row r="53" spans="1:3" x14ac:dyDescent="0.2">
      <c r="A53" s="216"/>
      <c r="B53" s="216"/>
      <c r="C53" s="216"/>
    </row>
    <row r="54" spans="1:3" x14ac:dyDescent="0.2">
      <c r="A54" s="216"/>
      <c r="B54" s="216"/>
      <c r="C54" s="216"/>
    </row>
    <row r="55" spans="1:3" x14ac:dyDescent="0.2">
      <c r="A55" s="216"/>
      <c r="B55" s="216"/>
      <c r="C55" s="216"/>
    </row>
    <row r="56" spans="1:3" x14ac:dyDescent="0.2">
      <c r="A56" s="216"/>
      <c r="B56" s="216"/>
      <c r="C56" s="276"/>
    </row>
    <row r="57" spans="1:3" x14ac:dyDescent="0.2">
      <c r="A57" s="277"/>
      <c r="B57" s="277"/>
      <c r="C57" s="216"/>
    </row>
    <row r="58" spans="1:3" x14ac:dyDescent="0.2">
      <c r="A58" s="216"/>
      <c r="B58" s="216"/>
      <c r="C58" s="216"/>
    </row>
    <row r="59" spans="1:3" x14ac:dyDescent="0.2">
      <c r="A59" s="278"/>
      <c r="B59" s="279"/>
      <c r="C59" s="278"/>
    </row>
    <row r="60" spans="1:3" x14ac:dyDescent="0.2">
      <c r="A60" s="278"/>
      <c r="B60" s="278"/>
      <c r="C60" s="278"/>
    </row>
    <row r="61" spans="1:3" x14ac:dyDescent="0.2">
      <c r="A61" s="278"/>
      <c r="B61" s="278"/>
      <c r="C61" s="278"/>
    </row>
    <row r="62" spans="1:3" x14ac:dyDescent="0.2">
      <c r="A62" s="278"/>
      <c r="B62" s="278"/>
      <c r="C62" s="278"/>
    </row>
    <row r="63" spans="1:3" x14ac:dyDescent="0.2">
      <c r="A63" s="239"/>
      <c r="B63" s="239"/>
      <c r="C63" s="239"/>
    </row>
    <row r="64" spans="1:3" x14ac:dyDescent="0.2">
      <c r="A64" s="239"/>
      <c r="B64" s="239"/>
      <c r="C64" s="239"/>
    </row>
    <row r="65" spans="1:3" x14ac:dyDescent="0.2">
      <c r="A65" s="239"/>
      <c r="B65" s="239"/>
      <c r="C65" s="239"/>
    </row>
    <row r="66" spans="1:3" x14ac:dyDescent="0.2">
      <c r="A66" s="239"/>
      <c r="B66" s="239"/>
      <c r="C66" s="239"/>
    </row>
    <row r="67" spans="1:3" x14ac:dyDescent="0.2">
      <c r="A67" s="239"/>
      <c r="B67" s="239"/>
      <c r="C67" s="239"/>
    </row>
    <row r="68" spans="1:3" x14ac:dyDescent="0.2">
      <c r="A68" s="239"/>
      <c r="B68" s="239"/>
      <c r="C68" s="239"/>
    </row>
    <row r="69" spans="1:3" x14ac:dyDescent="0.2">
      <c r="A69" s="261"/>
      <c r="B69" s="261"/>
      <c r="C69" s="261"/>
    </row>
    <row r="70" spans="1:3" x14ac:dyDescent="0.2">
      <c r="A70" s="261"/>
      <c r="B70" s="261"/>
      <c r="C70" s="261"/>
    </row>
    <row r="71" spans="1:3" x14ac:dyDescent="0.2">
      <c r="A71" s="261"/>
      <c r="B71" s="261"/>
      <c r="C71" s="261"/>
    </row>
    <row r="72" spans="1:3" x14ac:dyDescent="0.2">
      <c r="A72" s="261"/>
      <c r="B72" s="261"/>
      <c r="C72" s="261"/>
    </row>
    <row r="73" spans="1:3" x14ac:dyDescent="0.2">
      <c r="C73" s="261"/>
    </row>
    <row r="74" spans="1:3" x14ac:dyDescent="0.2">
      <c r="C74" s="261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S50"/>
  <sheetViews>
    <sheetView showWhiteSpace="0" zoomScale="80" zoomScaleNormal="80" zoomScaleSheetLayoutView="100" workbookViewId="0">
      <pane xSplit="4" ySplit="6" topLeftCell="AB10" activePane="bottomRight" state="frozen"/>
      <selection pane="topRight" activeCell="D1" sqref="D1"/>
      <selection pane="bottomLeft" activeCell="A6" sqref="A6"/>
      <selection pane="bottomRight" activeCell="AQ25" sqref="AQ25"/>
    </sheetView>
  </sheetViews>
  <sheetFormatPr defaultColWidth="9.28515625" defaultRowHeight="15" x14ac:dyDescent="0.25"/>
  <cols>
    <col min="1" max="1" width="7.140625" style="68" customWidth="1"/>
    <col min="2" max="2" width="5" style="3" customWidth="1"/>
    <col min="3" max="3" width="11.42578125" style="3" customWidth="1"/>
    <col min="4" max="4" width="68.42578125" style="3" customWidth="1"/>
    <col min="5" max="5" width="17.42578125" style="33" bestFit="1" customWidth="1"/>
    <col min="6" max="7" width="13.7109375" style="33" customWidth="1"/>
    <col min="8" max="8" width="15.42578125" style="33" bestFit="1" customWidth="1"/>
    <col min="9" max="9" width="12.42578125" style="33" bestFit="1" customWidth="1"/>
    <col min="10" max="10" width="12.42578125" style="33" customWidth="1"/>
    <col min="11" max="11" width="15.42578125" style="33" bestFit="1" customWidth="1"/>
    <col min="12" max="12" width="12.42578125" style="33" bestFit="1" customWidth="1"/>
    <col min="13" max="13" width="12.42578125" style="33" customWidth="1"/>
    <col min="14" max="14" width="15.42578125" style="33" bestFit="1" customWidth="1"/>
    <col min="15" max="16" width="10.85546875" style="33" customWidth="1"/>
    <col min="17" max="17" width="16.5703125" style="33" bestFit="1" customWidth="1"/>
    <col min="18" max="19" width="14" style="33" customWidth="1"/>
    <col min="20" max="20" width="13.7109375" style="33" customWidth="1"/>
    <col min="21" max="22" width="13.140625" style="33" customWidth="1"/>
    <col min="23" max="23" width="14.85546875" style="33" bestFit="1" customWidth="1"/>
    <col min="24" max="28" width="14" style="33" customWidth="1"/>
    <col min="29" max="29" width="14.28515625" style="33" bestFit="1" customWidth="1"/>
    <col min="30" max="30" width="10.7109375" style="33" bestFit="1" customWidth="1"/>
    <col min="31" max="31" width="10.7109375" style="33" customWidth="1"/>
    <col min="32" max="32" width="12" style="33" customWidth="1"/>
    <col min="33" max="34" width="10" style="33" customWidth="1"/>
    <col min="35" max="35" width="15.140625" style="33" customWidth="1"/>
    <col min="36" max="36" width="12.42578125" style="33" bestFit="1" customWidth="1"/>
    <col min="37" max="37" width="12.42578125" style="33" customWidth="1"/>
    <col min="38" max="38" width="15.42578125" style="33" bestFit="1" customWidth="1"/>
    <col min="39" max="39" width="12.42578125" style="33" customWidth="1"/>
    <col min="40" max="40" width="16.85546875" style="33" customWidth="1"/>
    <col min="41" max="41" width="18.140625" style="33" bestFit="1" customWidth="1"/>
    <col min="42" max="44" width="14" style="3" customWidth="1"/>
    <col min="45" max="45" width="13.5703125" style="3" bestFit="1" customWidth="1"/>
    <col min="46" max="16384" width="9.28515625" style="3"/>
  </cols>
  <sheetData>
    <row r="1" spans="1:43" s="307" customFormat="1" ht="28.5" customHeight="1" x14ac:dyDescent="0.3">
      <c r="A1" s="329"/>
      <c r="E1" s="308"/>
      <c r="F1" s="308"/>
      <c r="G1" s="308"/>
      <c r="H1" s="308"/>
      <c r="I1" s="308"/>
      <c r="J1" s="308"/>
      <c r="K1" s="308"/>
      <c r="L1" s="308"/>
      <c r="M1" s="308"/>
      <c r="N1" s="308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08"/>
      <c r="AN1" s="308"/>
      <c r="AO1" s="308"/>
    </row>
    <row r="2" spans="1:43" ht="26.25" customHeight="1" x14ac:dyDescent="0.3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80"/>
      <c r="AF2" s="33" t="s">
        <v>379</v>
      </c>
    </row>
    <row r="3" spans="1:43" ht="45.75" customHeight="1" x14ac:dyDescent="0.25">
      <c r="A3" s="67"/>
      <c r="B3" s="1">
        <v>1</v>
      </c>
      <c r="C3" s="1"/>
      <c r="D3" s="454" t="s">
        <v>380</v>
      </c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</row>
    <row r="4" spans="1:43" ht="45.75" customHeight="1" x14ac:dyDescent="0.25">
      <c r="A4" s="67" t="s">
        <v>52</v>
      </c>
      <c r="B4" s="1"/>
      <c r="C4" s="1" t="s">
        <v>60</v>
      </c>
      <c r="D4" s="97" t="s">
        <v>53</v>
      </c>
      <c r="E4" s="451" t="s">
        <v>54</v>
      </c>
      <c r="F4" s="452"/>
      <c r="G4" s="453"/>
      <c r="H4" s="448" t="s">
        <v>55</v>
      </c>
      <c r="I4" s="449"/>
      <c r="J4" s="450"/>
      <c r="K4" s="448" t="s">
        <v>62</v>
      </c>
      <c r="L4" s="449"/>
      <c r="M4" s="450"/>
      <c r="N4" s="448" t="s">
        <v>64</v>
      </c>
      <c r="O4" s="449"/>
      <c r="P4" s="450"/>
      <c r="Q4" s="448" t="s">
        <v>65</v>
      </c>
      <c r="R4" s="449"/>
      <c r="S4" s="450"/>
      <c r="T4" s="448" t="s">
        <v>66</v>
      </c>
      <c r="U4" s="449"/>
      <c r="V4" s="450"/>
      <c r="W4" s="448" t="s">
        <v>67</v>
      </c>
      <c r="X4" s="449"/>
      <c r="Y4" s="450"/>
      <c r="Z4" s="448" t="s">
        <v>99</v>
      </c>
      <c r="AA4" s="449"/>
      <c r="AB4" s="450"/>
      <c r="AC4" s="448" t="s">
        <v>93</v>
      </c>
      <c r="AD4" s="449"/>
      <c r="AE4" s="450"/>
      <c r="AF4" s="448" t="s">
        <v>180</v>
      </c>
      <c r="AG4" s="449"/>
      <c r="AH4" s="450"/>
      <c r="AI4" s="448" t="s">
        <v>94</v>
      </c>
      <c r="AJ4" s="449"/>
      <c r="AK4" s="450"/>
      <c r="AL4" s="448" t="s">
        <v>181</v>
      </c>
      <c r="AM4" s="449"/>
      <c r="AN4" s="450"/>
      <c r="AO4" s="459" t="s">
        <v>95</v>
      </c>
      <c r="AP4" s="459"/>
      <c r="AQ4" s="459"/>
    </row>
    <row r="5" spans="1:43" ht="63.75" customHeight="1" x14ac:dyDescent="0.25">
      <c r="A5" s="67" t="s">
        <v>1</v>
      </c>
      <c r="B5" s="1">
        <v>2</v>
      </c>
      <c r="C5" s="24" t="s">
        <v>68</v>
      </c>
      <c r="D5" s="376" t="s">
        <v>69</v>
      </c>
      <c r="E5" s="445" t="s">
        <v>58</v>
      </c>
      <c r="F5" s="446"/>
      <c r="G5" s="447"/>
      <c r="H5" s="445" t="s">
        <v>57</v>
      </c>
      <c r="I5" s="446"/>
      <c r="J5" s="447"/>
      <c r="K5" s="456" t="s">
        <v>70</v>
      </c>
      <c r="L5" s="457"/>
      <c r="M5" s="458"/>
      <c r="N5" s="445" t="s">
        <v>124</v>
      </c>
      <c r="O5" s="446"/>
      <c r="P5" s="447"/>
      <c r="Q5" s="445" t="s">
        <v>71</v>
      </c>
      <c r="R5" s="446"/>
      <c r="S5" s="447"/>
      <c r="T5" s="445" t="s">
        <v>72</v>
      </c>
      <c r="U5" s="446"/>
      <c r="V5" s="447"/>
      <c r="W5" s="445" t="s">
        <v>229</v>
      </c>
      <c r="X5" s="446"/>
      <c r="Y5" s="447"/>
      <c r="Z5" s="445" t="s">
        <v>20</v>
      </c>
      <c r="AA5" s="446"/>
      <c r="AB5" s="447"/>
      <c r="AC5" s="445" t="s">
        <v>414</v>
      </c>
      <c r="AD5" s="446"/>
      <c r="AE5" s="447"/>
      <c r="AF5" s="445" t="s">
        <v>363</v>
      </c>
      <c r="AG5" s="446"/>
      <c r="AH5" s="447"/>
      <c r="AI5" s="445" t="s">
        <v>126</v>
      </c>
      <c r="AJ5" s="446"/>
      <c r="AK5" s="447"/>
      <c r="AL5" s="445" t="s">
        <v>74</v>
      </c>
      <c r="AM5" s="446"/>
      <c r="AN5" s="447"/>
      <c r="AO5" s="460" t="s">
        <v>75</v>
      </c>
      <c r="AP5" s="460"/>
      <c r="AQ5" s="460"/>
    </row>
    <row r="6" spans="1:43" s="29" customFormat="1" ht="51" customHeight="1" x14ac:dyDescent="0.25">
      <c r="A6" s="67" t="s">
        <v>3</v>
      </c>
      <c r="B6" s="26">
        <v>3</v>
      </c>
      <c r="C6" s="26"/>
      <c r="D6" s="25" t="s">
        <v>61</v>
      </c>
      <c r="E6" s="377" t="s">
        <v>381</v>
      </c>
      <c r="F6" s="378" t="s">
        <v>382</v>
      </c>
      <c r="G6" s="378" t="s">
        <v>416</v>
      </c>
      <c r="H6" s="69" t="s">
        <v>381</v>
      </c>
      <c r="I6" s="14" t="s">
        <v>382</v>
      </c>
      <c r="J6" s="14" t="s">
        <v>416</v>
      </c>
      <c r="K6" s="69" t="s">
        <v>381</v>
      </c>
      <c r="L6" s="14" t="s">
        <v>382</v>
      </c>
      <c r="M6" s="14" t="s">
        <v>416</v>
      </c>
      <c r="N6" s="69" t="s">
        <v>381</v>
      </c>
      <c r="O6" s="14" t="s">
        <v>382</v>
      </c>
      <c r="P6" s="14" t="s">
        <v>416</v>
      </c>
      <c r="Q6" s="69" t="s">
        <v>381</v>
      </c>
      <c r="R6" s="14" t="s">
        <v>382</v>
      </c>
      <c r="S6" s="14" t="s">
        <v>416</v>
      </c>
      <c r="T6" s="69" t="s">
        <v>381</v>
      </c>
      <c r="U6" s="14" t="s">
        <v>382</v>
      </c>
      <c r="V6" s="14" t="s">
        <v>416</v>
      </c>
      <c r="W6" s="69" t="s">
        <v>381</v>
      </c>
      <c r="X6" s="14" t="s">
        <v>382</v>
      </c>
      <c r="Y6" s="14" t="s">
        <v>416</v>
      </c>
      <c r="Z6" s="69" t="s">
        <v>381</v>
      </c>
      <c r="AA6" s="14" t="s">
        <v>382</v>
      </c>
      <c r="AB6" s="14" t="s">
        <v>416</v>
      </c>
      <c r="AC6" s="69" t="s">
        <v>381</v>
      </c>
      <c r="AD6" s="14" t="s">
        <v>382</v>
      </c>
      <c r="AE6" s="14" t="s">
        <v>416</v>
      </c>
      <c r="AF6" s="69" t="s">
        <v>381</v>
      </c>
      <c r="AG6" s="14" t="s">
        <v>382</v>
      </c>
      <c r="AH6" s="14" t="s">
        <v>416</v>
      </c>
      <c r="AI6" s="69" t="s">
        <v>381</v>
      </c>
      <c r="AJ6" s="14" t="s">
        <v>382</v>
      </c>
      <c r="AK6" s="14" t="s">
        <v>416</v>
      </c>
      <c r="AL6" s="69" t="s">
        <v>381</v>
      </c>
      <c r="AM6" s="14" t="s">
        <v>382</v>
      </c>
      <c r="AN6" s="14" t="s">
        <v>416</v>
      </c>
      <c r="AO6" s="377" t="s">
        <v>381</v>
      </c>
      <c r="AP6" s="378" t="s">
        <v>382</v>
      </c>
      <c r="AQ6" s="14" t="s">
        <v>416</v>
      </c>
    </row>
    <row r="7" spans="1:43" s="29" customFormat="1" ht="15.75" customHeight="1" x14ac:dyDescent="0.25">
      <c r="A7" s="67"/>
      <c r="B7" s="26"/>
      <c r="C7" s="26" t="s">
        <v>76</v>
      </c>
      <c r="D7" s="2" t="s">
        <v>302</v>
      </c>
      <c r="E7" s="127">
        <v>234000</v>
      </c>
      <c r="F7" s="121">
        <f>E7</f>
        <v>234000</v>
      </c>
      <c r="G7" s="121">
        <v>6</v>
      </c>
      <c r="H7" s="69"/>
      <c r="I7" s="14"/>
      <c r="J7" s="14"/>
      <c r="K7" s="69"/>
      <c r="L7" s="14"/>
      <c r="M7" s="14"/>
      <c r="N7" s="69"/>
      <c r="O7" s="14"/>
      <c r="P7" s="14"/>
      <c r="Q7" s="69"/>
      <c r="R7" s="14"/>
      <c r="S7" s="14"/>
      <c r="T7" s="128"/>
      <c r="U7" s="14"/>
      <c r="V7" s="14"/>
      <c r="W7" s="129"/>
      <c r="X7" s="132"/>
      <c r="Y7" s="132"/>
      <c r="Z7" s="132"/>
      <c r="AA7" s="132"/>
      <c r="AB7" s="132"/>
      <c r="AC7" s="69"/>
      <c r="AD7" s="14"/>
      <c r="AE7" s="14"/>
      <c r="AF7" s="128"/>
      <c r="AG7" s="14"/>
      <c r="AH7" s="14"/>
      <c r="AI7" s="69"/>
      <c r="AJ7" s="14"/>
      <c r="AK7" s="14"/>
      <c r="AL7" s="69"/>
      <c r="AM7" s="14"/>
      <c r="AN7" s="14"/>
      <c r="AO7" s="77">
        <f t="shared" ref="AO7:AO25" si="0">E7+H7+K7+Q7+T7+AC7+AL7+N7+AF7+AI7+W7</f>
        <v>234000</v>
      </c>
      <c r="AP7" s="77">
        <f t="shared" ref="AP7:AQ16" si="1">F7+I7+L7+O7+R7+U7+AD7+AJ7+AM7+X7</f>
        <v>234000</v>
      </c>
      <c r="AQ7" s="77">
        <f t="shared" si="1"/>
        <v>6</v>
      </c>
    </row>
    <row r="8" spans="1:43" s="29" customFormat="1" ht="15.75" customHeight="1" x14ac:dyDescent="0.25">
      <c r="A8" s="67"/>
      <c r="B8" s="26"/>
      <c r="C8" s="26" t="s">
        <v>77</v>
      </c>
      <c r="D8" s="2" t="s">
        <v>317</v>
      </c>
      <c r="E8" s="127">
        <v>16226149</v>
      </c>
      <c r="F8" s="121">
        <f>E8</f>
        <v>16226149</v>
      </c>
      <c r="G8" s="121">
        <v>9659820</v>
      </c>
      <c r="H8" s="128"/>
      <c r="I8" s="14"/>
      <c r="J8" s="14"/>
      <c r="K8" s="69"/>
      <c r="L8" s="14"/>
      <c r="M8" s="14"/>
      <c r="N8" s="69"/>
      <c r="O8" s="14"/>
      <c r="P8" s="14"/>
      <c r="Q8" s="69"/>
      <c r="R8" s="14"/>
      <c r="S8" s="14"/>
      <c r="T8" s="69"/>
      <c r="U8" s="14"/>
      <c r="V8" s="14"/>
      <c r="W8" s="14"/>
      <c r="X8" s="14"/>
      <c r="Y8" s="14"/>
      <c r="Z8" s="14"/>
      <c r="AA8" s="14"/>
      <c r="AB8" s="15">
        <v>811023</v>
      </c>
      <c r="AC8" s="69"/>
      <c r="AD8" s="14"/>
      <c r="AE8" s="14"/>
      <c r="AF8" s="128"/>
      <c r="AG8" s="14"/>
      <c r="AH8" s="14"/>
      <c r="AI8" s="69"/>
      <c r="AJ8" s="14"/>
      <c r="AK8" s="14"/>
      <c r="AL8" s="69"/>
      <c r="AM8" s="14"/>
      <c r="AN8" s="14"/>
      <c r="AO8" s="77">
        <f t="shared" si="0"/>
        <v>16226149</v>
      </c>
      <c r="AP8" s="77">
        <f>F8+I8+L8+O8+R8+U8+AD8+AJ8+AM8+X8</f>
        <v>16226149</v>
      </c>
      <c r="AQ8" s="77">
        <f>G8+J8+M8+P8+S8+V8+AE8+AK8+AN8+Y8+AB8</f>
        <v>10470843</v>
      </c>
    </row>
    <row r="9" spans="1:43" s="29" customFormat="1" ht="15.75" customHeight="1" x14ac:dyDescent="0.25">
      <c r="A9" s="67"/>
      <c r="B9" s="26"/>
      <c r="C9" s="26" t="s">
        <v>77</v>
      </c>
      <c r="D9" s="2" t="s">
        <v>318</v>
      </c>
      <c r="E9" s="127">
        <v>2442345</v>
      </c>
      <c r="F9" s="121">
        <v>2512345</v>
      </c>
      <c r="G9" s="121">
        <v>1664513</v>
      </c>
      <c r="H9" s="69"/>
      <c r="I9" s="14"/>
      <c r="J9" s="14"/>
      <c r="K9" s="128"/>
      <c r="L9" s="121"/>
      <c r="M9" s="121"/>
      <c r="N9" s="128"/>
      <c r="O9" s="121"/>
      <c r="P9" s="121"/>
      <c r="Q9" s="128">
        <v>83684186</v>
      </c>
      <c r="R9" s="121">
        <f>Q9</f>
        <v>83684186</v>
      </c>
      <c r="S9" s="121">
        <v>35385391</v>
      </c>
      <c r="T9" s="128"/>
      <c r="U9" s="121"/>
      <c r="V9" s="121"/>
      <c r="W9" s="121"/>
      <c r="X9" s="121"/>
      <c r="Y9" s="121"/>
      <c r="Z9" s="121"/>
      <c r="AA9" s="121"/>
      <c r="AB9" s="121"/>
      <c r="AC9" s="128"/>
      <c r="AD9" s="121"/>
      <c r="AE9" s="121"/>
      <c r="AF9" s="128"/>
      <c r="AG9" s="121"/>
      <c r="AH9" s="121"/>
      <c r="AI9" s="128"/>
      <c r="AJ9" s="121"/>
      <c r="AK9" s="121"/>
      <c r="AL9" s="128"/>
      <c r="AM9" s="121"/>
      <c r="AN9" s="121"/>
      <c r="AO9" s="77">
        <f t="shared" si="0"/>
        <v>86126531</v>
      </c>
      <c r="AP9" s="77">
        <f t="shared" si="1"/>
        <v>86196531</v>
      </c>
      <c r="AQ9" s="77">
        <f t="shared" si="1"/>
        <v>37049904</v>
      </c>
    </row>
    <row r="10" spans="1:43" s="29" customFormat="1" ht="15.75" customHeight="1" x14ac:dyDescent="0.25">
      <c r="A10" s="67"/>
      <c r="B10" s="26"/>
      <c r="C10" s="26" t="s">
        <v>77</v>
      </c>
      <c r="D10" s="2" t="s">
        <v>329</v>
      </c>
      <c r="E10" s="127"/>
      <c r="F10" s="121"/>
      <c r="G10" s="121"/>
      <c r="H10" s="69"/>
      <c r="I10" s="14"/>
      <c r="J10" s="14"/>
      <c r="K10" s="69"/>
      <c r="L10" s="14"/>
      <c r="M10" s="14"/>
      <c r="N10" s="69"/>
      <c r="O10" s="14"/>
      <c r="P10" s="14"/>
      <c r="Q10" s="69"/>
      <c r="R10" s="121"/>
      <c r="S10" s="121">
        <v>42489</v>
      </c>
      <c r="T10" s="69"/>
      <c r="U10" s="14"/>
      <c r="V10" s="14"/>
      <c r="W10" s="14"/>
      <c r="X10" s="14"/>
      <c r="Y10" s="14"/>
      <c r="Z10" s="14"/>
      <c r="AA10" s="14"/>
      <c r="AB10" s="14"/>
      <c r="AC10" s="69"/>
      <c r="AD10" s="14"/>
      <c r="AE10" s="14"/>
      <c r="AF10" s="128"/>
      <c r="AG10" s="14"/>
      <c r="AH10" s="14"/>
      <c r="AI10" s="69"/>
      <c r="AJ10" s="14"/>
      <c r="AK10" s="14"/>
      <c r="AL10" s="69"/>
      <c r="AM10" s="14"/>
      <c r="AN10" s="14"/>
      <c r="AO10" s="77">
        <f t="shared" si="0"/>
        <v>0</v>
      </c>
      <c r="AP10" s="77">
        <f t="shared" si="1"/>
        <v>0</v>
      </c>
      <c r="AQ10" s="77">
        <f t="shared" si="1"/>
        <v>42489</v>
      </c>
    </row>
    <row r="11" spans="1:43" s="29" customFormat="1" ht="15.75" customHeight="1" x14ac:dyDescent="0.25">
      <c r="A11" s="67"/>
      <c r="B11" s="26"/>
      <c r="C11" s="26" t="s">
        <v>77</v>
      </c>
      <c r="D11" s="2" t="s">
        <v>319</v>
      </c>
      <c r="E11" s="127">
        <v>11650000</v>
      </c>
      <c r="F11" s="121">
        <v>11650000</v>
      </c>
      <c r="G11" s="121">
        <v>0</v>
      </c>
      <c r="H11" s="69"/>
      <c r="I11" s="14"/>
      <c r="J11" s="14"/>
      <c r="K11" s="69"/>
      <c r="L11" s="14"/>
      <c r="M11" s="14"/>
      <c r="N11" s="69"/>
      <c r="O11" s="14"/>
      <c r="P11" s="14"/>
      <c r="Q11" s="128">
        <v>1245000</v>
      </c>
      <c r="R11" s="121">
        <f>Q11</f>
        <v>1245000</v>
      </c>
      <c r="S11" s="121">
        <v>549763</v>
      </c>
      <c r="T11" s="69"/>
      <c r="U11" s="14"/>
      <c r="V11" s="14"/>
      <c r="W11" s="14"/>
      <c r="X11" s="14"/>
      <c r="Y11" s="14"/>
      <c r="Z11" s="14"/>
      <c r="AA11" s="14"/>
      <c r="AB11" s="14"/>
      <c r="AC11" s="343"/>
      <c r="AD11" s="14"/>
      <c r="AE11" s="14"/>
      <c r="AF11" s="128"/>
      <c r="AG11" s="14"/>
      <c r="AH11" s="14"/>
      <c r="AI11" s="69"/>
      <c r="AJ11" s="14"/>
      <c r="AK11" s="14"/>
      <c r="AL11" s="69"/>
      <c r="AM11" s="14"/>
      <c r="AN11" s="14"/>
      <c r="AO11" s="77">
        <f t="shared" si="0"/>
        <v>12895000</v>
      </c>
      <c r="AP11" s="77">
        <f t="shared" si="1"/>
        <v>12895000</v>
      </c>
      <c r="AQ11" s="77">
        <f t="shared" si="1"/>
        <v>549763</v>
      </c>
    </row>
    <row r="12" spans="1:43" s="29" customFormat="1" ht="15.75" customHeight="1" x14ac:dyDescent="0.25">
      <c r="A12" s="67"/>
      <c r="B12" s="26"/>
      <c r="C12" s="26" t="s">
        <v>81</v>
      </c>
      <c r="D12" s="2" t="s">
        <v>336</v>
      </c>
      <c r="E12" s="127"/>
      <c r="F12" s="121"/>
      <c r="G12" s="121"/>
      <c r="H12" s="69"/>
      <c r="I12" s="14"/>
      <c r="J12" s="14"/>
      <c r="K12" s="69"/>
      <c r="L12" s="14"/>
      <c r="M12" s="14"/>
      <c r="N12" s="69"/>
      <c r="O12" s="14"/>
      <c r="P12" s="14"/>
      <c r="Q12" s="69"/>
      <c r="R12" s="14"/>
      <c r="S12" s="14"/>
      <c r="T12" s="128">
        <v>147429878</v>
      </c>
      <c r="U12" s="121">
        <f>T12</f>
        <v>147429878</v>
      </c>
      <c r="V12" s="121">
        <v>0</v>
      </c>
      <c r="W12" s="121">
        <v>1887000</v>
      </c>
      <c r="X12" s="121">
        <f>W12</f>
        <v>1887000</v>
      </c>
      <c r="Y12" s="121">
        <v>6000</v>
      </c>
      <c r="Z12" s="121"/>
      <c r="AA12" s="121"/>
      <c r="AB12" s="121"/>
      <c r="AC12" s="69"/>
      <c r="AD12" s="14"/>
      <c r="AE12" s="14"/>
      <c r="AF12" s="128"/>
      <c r="AG12" s="14"/>
      <c r="AH12" s="14"/>
      <c r="AI12" s="69"/>
      <c r="AJ12" s="14"/>
      <c r="AK12" s="14"/>
      <c r="AL12" s="69"/>
      <c r="AM12" s="14"/>
      <c r="AN12" s="14"/>
      <c r="AO12" s="77">
        <f t="shared" si="0"/>
        <v>149316878</v>
      </c>
      <c r="AP12" s="77">
        <f t="shared" si="1"/>
        <v>149316878</v>
      </c>
      <c r="AQ12" s="77">
        <f t="shared" si="1"/>
        <v>6000</v>
      </c>
    </row>
    <row r="13" spans="1:43" s="29" customFormat="1" ht="15.75" customHeight="1" x14ac:dyDescent="0.25">
      <c r="A13" s="67"/>
      <c r="B13" s="26"/>
      <c r="C13" s="26" t="s">
        <v>77</v>
      </c>
      <c r="D13" s="2" t="s">
        <v>320</v>
      </c>
      <c r="E13" s="127"/>
      <c r="F13" s="121"/>
      <c r="G13" s="121"/>
      <c r="H13" s="128"/>
      <c r="I13" s="14"/>
      <c r="J13" s="14"/>
      <c r="K13" s="69"/>
      <c r="L13" s="14"/>
      <c r="M13" s="14"/>
      <c r="N13" s="69"/>
      <c r="O13" s="14"/>
      <c r="P13" s="14"/>
      <c r="Q13" s="69"/>
      <c r="R13" s="14"/>
      <c r="S13" s="14"/>
      <c r="T13" s="69"/>
      <c r="U13" s="14"/>
      <c r="V13" s="14"/>
      <c r="W13" s="121"/>
      <c r="X13" s="14"/>
      <c r="Y13" s="14"/>
      <c r="Z13" s="14"/>
      <c r="AA13" s="14"/>
      <c r="AB13" s="14"/>
      <c r="AC13" s="128"/>
      <c r="AD13" s="131"/>
      <c r="AE13" s="131"/>
      <c r="AF13" s="128"/>
      <c r="AG13" s="14"/>
      <c r="AH13" s="14"/>
      <c r="AI13" s="69"/>
      <c r="AJ13" s="14"/>
      <c r="AK13" s="14"/>
      <c r="AL13" s="69"/>
      <c r="AM13" s="14"/>
      <c r="AN13" s="14"/>
      <c r="AO13" s="77">
        <f t="shared" si="0"/>
        <v>0</v>
      </c>
      <c r="AP13" s="77">
        <f t="shared" si="1"/>
        <v>0</v>
      </c>
      <c r="AQ13" s="77">
        <f t="shared" si="1"/>
        <v>0</v>
      </c>
    </row>
    <row r="14" spans="1:43" s="29" customFormat="1" ht="15.75" customHeight="1" x14ac:dyDescent="0.25">
      <c r="A14" s="67"/>
      <c r="B14" s="26"/>
      <c r="C14" s="26" t="s">
        <v>81</v>
      </c>
      <c r="D14" s="344" t="s">
        <v>362</v>
      </c>
      <c r="E14" s="127"/>
      <c r="F14" s="121"/>
      <c r="G14" s="121"/>
      <c r="H14" s="128"/>
      <c r="I14" s="14"/>
      <c r="J14" s="14"/>
      <c r="K14" s="69"/>
      <c r="L14" s="14"/>
      <c r="M14" s="14"/>
      <c r="N14" s="69"/>
      <c r="O14" s="14"/>
      <c r="P14" s="14"/>
      <c r="Q14" s="69"/>
      <c r="R14" s="14"/>
      <c r="S14" s="379"/>
      <c r="T14" s="115">
        <v>1935000000</v>
      </c>
      <c r="U14" s="128">
        <f>T14</f>
        <v>1935000000</v>
      </c>
      <c r="V14" s="128">
        <v>0</v>
      </c>
      <c r="W14" s="121"/>
      <c r="X14" s="14"/>
      <c r="Y14" s="14"/>
      <c r="Z14" s="14"/>
      <c r="AA14" s="14"/>
      <c r="AB14" s="14"/>
      <c r="AC14" s="128"/>
      <c r="AD14" s="131"/>
      <c r="AE14" s="131"/>
      <c r="AF14" s="128"/>
      <c r="AG14" s="14"/>
      <c r="AH14" s="14"/>
      <c r="AI14" s="69"/>
      <c r="AJ14" s="14"/>
      <c r="AK14" s="14"/>
      <c r="AL14" s="69"/>
      <c r="AM14" s="14"/>
      <c r="AN14" s="14"/>
      <c r="AO14" s="77">
        <f t="shared" si="0"/>
        <v>1935000000</v>
      </c>
      <c r="AP14" s="77">
        <f t="shared" si="1"/>
        <v>1935000000</v>
      </c>
      <c r="AQ14" s="77">
        <f t="shared" si="1"/>
        <v>0</v>
      </c>
    </row>
    <row r="15" spans="1:43" s="29" customFormat="1" ht="15.75" customHeight="1" x14ac:dyDescent="0.25">
      <c r="A15" s="67"/>
      <c r="B15" s="26"/>
      <c r="C15" s="26" t="s">
        <v>77</v>
      </c>
      <c r="D15" s="2" t="s">
        <v>321</v>
      </c>
      <c r="E15" s="127"/>
      <c r="F15" s="121"/>
      <c r="G15" s="121"/>
      <c r="H15" s="128"/>
      <c r="I15" s="14"/>
      <c r="J15" s="14"/>
      <c r="K15" s="69"/>
      <c r="L15" s="14"/>
      <c r="M15" s="14"/>
      <c r="N15" s="69"/>
      <c r="O15" s="14"/>
      <c r="P15" s="14"/>
      <c r="Q15" s="69"/>
      <c r="R15" s="341"/>
      <c r="S15" s="341"/>
      <c r="T15" s="69"/>
      <c r="U15" s="14"/>
      <c r="V15" s="14"/>
      <c r="W15" s="121"/>
      <c r="X15" s="131"/>
      <c r="Y15" s="131"/>
      <c r="Z15" s="131"/>
      <c r="AA15" s="131"/>
      <c r="AB15" s="131"/>
      <c r="AC15" s="128"/>
      <c r="AD15" s="131"/>
      <c r="AE15" s="131"/>
      <c r="AF15" s="128"/>
      <c r="AG15" s="14"/>
      <c r="AH15" s="14"/>
      <c r="AI15" s="69"/>
      <c r="AJ15" s="14"/>
      <c r="AK15" s="14"/>
      <c r="AL15" s="69"/>
      <c r="AM15" s="14"/>
      <c r="AN15" s="14"/>
      <c r="AO15" s="77">
        <f t="shared" si="0"/>
        <v>0</v>
      </c>
      <c r="AP15" s="77">
        <f t="shared" si="1"/>
        <v>0</v>
      </c>
      <c r="AQ15" s="77">
        <f t="shared" si="1"/>
        <v>0</v>
      </c>
    </row>
    <row r="16" spans="1:43" s="29" customFormat="1" ht="15.75" customHeight="1" x14ac:dyDescent="0.25">
      <c r="A16" s="67"/>
      <c r="B16" s="26"/>
      <c r="C16" s="26" t="s">
        <v>76</v>
      </c>
      <c r="D16" s="2" t="s">
        <v>322</v>
      </c>
      <c r="E16" s="127">
        <v>14325155</v>
      </c>
      <c r="F16" s="121">
        <f>17484318+82942</f>
        <v>17567260</v>
      </c>
      <c r="G16" s="121">
        <v>13093547</v>
      </c>
      <c r="H16" s="128"/>
      <c r="I16" s="14"/>
      <c r="J16" s="14"/>
      <c r="K16" s="69"/>
      <c r="L16" s="14"/>
      <c r="M16" s="14"/>
      <c r="N16" s="69"/>
      <c r="O16" s="14"/>
      <c r="P16" s="14"/>
      <c r="Q16" s="69"/>
      <c r="R16" s="131"/>
      <c r="S16" s="131"/>
      <c r="T16" s="69"/>
      <c r="U16" s="14"/>
      <c r="V16" s="14"/>
      <c r="W16" s="121">
        <v>9000000</v>
      </c>
      <c r="X16" s="121">
        <f>W16</f>
        <v>9000000</v>
      </c>
      <c r="Y16" s="121">
        <v>3943590</v>
      </c>
      <c r="Z16" s="121"/>
      <c r="AA16" s="121"/>
      <c r="AB16" s="121"/>
      <c r="AC16" s="128"/>
      <c r="AD16" s="131"/>
      <c r="AE16" s="131"/>
      <c r="AF16" s="128"/>
      <c r="AG16" s="14"/>
      <c r="AH16" s="14"/>
      <c r="AI16" s="69"/>
      <c r="AJ16" s="14"/>
      <c r="AK16" s="14"/>
      <c r="AL16" s="69"/>
      <c r="AM16" s="14"/>
      <c r="AN16" s="14"/>
      <c r="AO16" s="77">
        <f t="shared" si="0"/>
        <v>23325155</v>
      </c>
      <c r="AP16" s="77">
        <f t="shared" si="1"/>
        <v>26567260</v>
      </c>
      <c r="AQ16" s="77">
        <f t="shared" si="1"/>
        <v>17037137</v>
      </c>
    </row>
    <row r="17" spans="1:45" s="29" customFormat="1" ht="15.75" customHeight="1" x14ac:dyDescent="0.25">
      <c r="A17" s="67"/>
      <c r="B17" s="26"/>
      <c r="C17" s="26" t="s">
        <v>76</v>
      </c>
      <c r="D17" s="2" t="s">
        <v>323</v>
      </c>
      <c r="E17" s="127"/>
      <c r="F17" s="121"/>
      <c r="G17" s="121">
        <v>27308</v>
      </c>
      <c r="H17" s="128"/>
      <c r="I17" s="14"/>
      <c r="J17" s="14"/>
      <c r="K17" s="31"/>
      <c r="L17" s="14"/>
      <c r="M17" s="14"/>
      <c r="N17" s="69"/>
      <c r="O17" s="14"/>
      <c r="P17" s="14"/>
      <c r="Q17" s="128">
        <v>9015000</v>
      </c>
      <c r="R17" s="121">
        <f>Q17</f>
        <v>9015000</v>
      </c>
      <c r="S17" s="121">
        <v>8997600</v>
      </c>
      <c r="T17" s="69"/>
      <c r="U17" s="14" t="s">
        <v>98</v>
      </c>
      <c r="V17" s="14"/>
      <c r="W17" s="131"/>
      <c r="X17" s="14"/>
      <c r="Y17" s="14"/>
      <c r="Z17" s="14"/>
      <c r="AA17" s="14"/>
      <c r="AB17" s="14"/>
      <c r="AC17" s="69"/>
      <c r="AD17" s="14"/>
      <c r="AE17" s="14"/>
      <c r="AF17" s="128"/>
      <c r="AG17" s="14"/>
      <c r="AH17" s="14"/>
      <c r="AI17" s="69"/>
      <c r="AJ17" s="14"/>
      <c r="AK17" s="14"/>
      <c r="AL17" s="69"/>
      <c r="AM17" s="14"/>
      <c r="AN17" s="14"/>
      <c r="AO17" s="77">
        <f t="shared" si="0"/>
        <v>9015000</v>
      </c>
      <c r="AP17" s="77">
        <f>R17</f>
        <v>9015000</v>
      </c>
      <c r="AQ17" s="77">
        <f>S17+G17</f>
        <v>9024908</v>
      </c>
    </row>
    <row r="18" spans="1:45" s="29" customFormat="1" ht="15.75" customHeight="1" x14ac:dyDescent="0.25">
      <c r="A18" s="67"/>
      <c r="B18" s="26"/>
      <c r="C18" s="26" t="s">
        <v>76</v>
      </c>
      <c r="D18" s="2" t="s">
        <v>324</v>
      </c>
      <c r="E18" s="127"/>
      <c r="F18" s="121">
        <v>30000</v>
      </c>
      <c r="G18" s="121">
        <v>0</v>
      </c>
      <c r="H18" s="128"/>
      <c r="I18" s="14"/>
      <c r="J18" s="14"/>
      <c r="K18" s="31"/>
      <c r="L18" s="14"/>
      <c r="M18" s="14"/>
      <c r="N18" s="69"/>
      <c r="O18" s="14"/>
      <c r="P18" s="14"/>
      <c r="Q18" s="128">
        <v>220800</v>
      </c>
      <c r="R18" s="121">
        <v>220800</v>
      </c>
      <c r="S18" s="121">
        <v>110400</v>
      </c>
      <c r="T18" s="69"/>
      <c r="U18" s="14"/>
      <c r="V18" s="14"/>
      <c r="W18" s="131"/>
      <c r="X18" s="14"/>
      <c r="Y18" s="14"/>
      <c r="Z18" s="14"/>
      <c r="AA18" s="14"/>
      <c r="AB18" s="14"/>
      <c r="AC18" s="69"/>
      <c r="AD18" s="14"/>
      <c r="AE18" s="14"/>
      <c r="AF18" s="128"/>
      <c r="AG18" s="14"/>
      <c r="AH18" s="14"/>
      <c r="AI18" s="69"/>
      <c r="AJ18" s="14"/>
      <c r="AK18" s="14"/>
      <c r="AL18" s="69"/>
      <c r="AM18" s="14"/>
      <c r="AN18" s="14"/>
      <c r="AO18" s="77">
        <f t="shared" si="0"/>
        <v>220800</v>
      </c>
      <c r="AP18" s="77">
        <f t="shared" ref="AP18:AQ25" si="2">F18+I18+L18+O18+R18+U18+AD18+AJ18+AM18+X18</f>
        <v>250800</v>
      </c>
      <c r="AQ18" s="77">
        <f t="shared" si="2"/>
        <v>110400</v>
      </c>
    </row>
    <row r="19" spans="1:45" s="29" customFormat="1" ht="15.75" customHeight="1" x14ac:dyDescent="0.25">
      <c r="A19" s="67"/>
      <c r="B19" s="26"/>
      <c r="C19" s="26" t="s">
        <v>77</v>
      </c>
      <c r="D19" s="2" t="s">
        <v>325</v>
      </c>
      <c r="E19" s="127">
        <v>945001</v>
      </c>
      <c r="F19" s="121">
        <f>E19</f>
        <v>945001</v>
      </c>
      <c r="G19" s="121">
        <v>537716</v>
      </c>
      <c r="H19" s="128"/>
      <c r="I19" s="14"/>
      <c r="J19" s="379"/>
      <c r="L19" s="14"/>
      <c r="M19" s="14"/>
      <c r="N19" s="69"/>
      <c r="O19" s="14"/>
      <c r="P19" s="14"/>
      <c r="Q19" s="128">
        <v>210000</v>
      </c>
      <c r="R19" s="121">
        <f>Q19</f>
        <v>210000</v>
      </c>
      <c r="S19" s="121">
        <v>120000</v>
      </c>
      <c r="T19" s="343"/>
      <c r="U19" s="14"/>
      <c r="V19" s="14"/>
      <c r="W19" s="131"/>
      <c r="X19" s="14"/>
      <c r="Y19" s="14"/>
      <c r="Z19" s="14"/>
      <c r="AA19" s="14"/>
      <c r="AB19" s="14"/>
      <c r="AC19" s="69"/>
      <c r="AD19" s="14"/>
      <c r="AE19" s="14"/>
      <c r="AF19" s="128"/>
      <c r="AG19" s="14"/>
      <c r="AH19" s="14"/>
      <c r="AI19" s="69"/>
      <c r="AJ19" s="14"/>
      <c r="AK19" s="14"/>
      <c r="AL19" s="69"/>
      <c r="AM19" s="14"/>
      <c r="AN19" s="14"/>
      <c r="AO19" s="77">
        <f t="shared" si="0"/>
        <v>1155001</v>
      </c>
      <c r="AP19" s="77">
        <f t="shared" si="2"/>
        <v>1155001</v>
      </c>
      <c r="AQ19" s="77">
        <f t="shared" si="2"/>
        <v>657716</v>
      </c>
    </row>
    <row r="20" spans="1:45" s="29" customFormat="1" ht="15.75" customHeight="1" x14ac:dyDescent="0.25">
      <c r="A20" s="67"/>
      <c r="B20" s="26"/>
      <c r="C20" s="26" t="s">
        <v>76</v>
      </c>
      <c r="D20" s="2" t="s">
        <v>326</v>
      </c>
      <c r="E20" s="127">
        <v>14128001</v>
      </c>
      <c r="F20" s="121">
        <f>E20</f>
        <v>14128001</v>
      </c>
      <c r="G20" s="121">
        <v>7433746</v>
      </c>
      <c r="H20" s="128"/>
      <c r="I20" s="14"/>
      <c r="J20" s="14"/>
      <c r="K20" s="128"/>
      <c r="L20" s="14"/>
      <c r="M20" s="14"/>
      <c r="N20" s="69"/>
      <c r="O20" s="14"/>
      <c r="P20" s="14"/>
      <c r="Q20" s="343"/>
      <c r="R20" s="131"/>
      <c r="S20" s="131"/>
      <c r="T20" s="69"/>
      <c r="U20" s="14"/>
      <c r="V20" s="14"/>
      <c r="W20" s="131"/>
      <c r="X20" s="14"/>
      <c r="Y20" s="14"/>
      <c r="Z20" s="14"/>
      <c r="AA20" s="14"/>
      <c r="AB20" s="14"/>
      <c r="AC20" s="69"/>
      <c r="AD20" s="14"/>
      <c r="AE20" s="14"/>
      <c r="AF20" s="128"/>
      <c r="AG20" s="14"/>
      <c r="AH20" s="14"/>
      <c r="AI20" s="69"/>
      <c r="AJ20" s="14"/>
      <c r="AK20" s="14"/>
      <c r="AL20" s="69"/>
      <c r="AM20" s="14"/>
      <c r="AN20" s="14"/>
      <c r="AO20" s="77">
        <f t="shared" si="0"/>
        <v>14128001</v>
      </c>
      <c r="AP20" s="77">
        <f t="shared" si="2"/>
        <v>14128001</v>
      </c>
      <c r="AQ20" s="77">
        <f t="shared" si="2"/>
        <v>7433746</v>
      </c>
    </row>
    <row r="21" spans="1:45" s="29" customFormat="1" ht="15.75" customHeight="1" x14ac:dyDescent="0.25">
      <c r="A21" s="67"/>
      <c r="B21" s="26"/>
      <c r="C21" s="26" t="s">
        <v>76</v>
      </c>
      <c r="D21" s="2" t="s">
        <v>327</v>
      </c>
      <c r="E21" s="127"/>
      <c r="F21" s="121"/>
      <c r="G21" s="121"/>
      <c r="H21" s="128">
        <v>135717500</v>
      </c>
      <c r="I21" s="121">
        <f>H21</f>
        <v>135717500</v>
      </c>
      <c r="J21" s="121">
        <v>74431900</v>
      </c>
      <c r="K21" s="128"/>
      <c r="L21" s="14"/>
      <c r="M21" s="14"/>
      <c r="N21" s="69"/>
      <c r="O21" s="14"/>
      <c r="P21" s="14"/>
      <c r="Q21" s="128"/>
      <c r="R21" s="131"/>
      <c r="S21" s="131"/>
      <c r="T21" s="69"/>
      <c r="U21" s="14"/>
      <c r="V21" s="14"/>
      <c r="W21" s="131"/>
      <c r="X21" s="14"/>
      <c r="Y21" s="14"/>
      <c r="Z21" s="14"/>
      <c r="AA21" s="14"/>
      <c r="AB21" s="14"/>
      <c r="AC21" s="69"/>
      <c r="AD21" s="14"/>
      <c r="AE21" s="14"/>
      <c r="AF21" s="128"/>
      <c r="AG21" s="14"/>
      <c r="AH21" s="14"/>
      <c r="AI21" s="69"/>
      <c r="AJ21" s="14"/>
      <c r="AK21" s="14"/>
      <c r="AL21" s="69"/>
      <c r="AM21" s="14"/>
      <c r="AN21" s="14"/>
      <c r="AO21" s="77">
        <f t="shared" si="0"/>
        <v>135717500</v>
      </c>
      <c r="AP21" s="77">
        <f t="shared" si="2"/>
        <v>135717500</v>
      </c>
      <c r="AQ21" s="77">
        <f t="shared" si="2"/>
        <v>74431900</v>
      </c>
    </row>
    <row r="22" spans="1:45" s="29" customFormat="1" ht="15.75" customHeight="1" x14ac:dyDescent="0.25">
      <c r="A22" s="67"/>
      <c r="B22" s="26"/>
      <c r="C22" s="26" t="s">
        <v>76</v>
      </c>
      <c r="D22" s="2" t="s">
        <v>350</v>
      </c>
      <c r="E22" s="127"/>
      <c r="F22" s="121"/>
      <c r="G22" s="121"/>
      <c r="H22" s="128"/>
      <c r="I22" s="131"/>
      <c r="J22" s="131"/>
      <c r="K22" s="128"/>
      <c r="L22" s="14"/>
      <c r="M22" s="14"/>
      <c r="N22" s="69"/>
      <c r="O22" s="14"/>
      <c r="P22" s="14"/>
      <c r="Q22" s="128"/>
      <c r="R22" s="131"/>
      <c r="S22" s="131"/>
      <c r="T22" s="69"/>
      <c r="U22" s="14"/>
      <c r="V22" s="14"/>
      <c r="W22" s="131"/>
      <c r="X22" s="14"/>
      <c r="Y22" s="14"/>
      <c r="Z22" s="14"/>
      <c r="AA22" s="14"/>
      <c r="AB22" s="14"/>
      <c r="AC22" s="69"/>
      <c r="AD22" s="14"/>
      <c r="AE22" s="14"/>
      <c r="AF22" s="128"/>
      <c r="AG22" s="14"/>
      <c r="AH22" s="14"/>
      <c r="AI22" s="343">
        <v>253884571</v>
      </c>
      <c r="AJ22" s="131">
        <v>786985552</v>
      </c>
      <c r="AK22" s="131">
        <v>786985552</v>
      </c>
      <c r="AL22" s="69"/>
      <c r="AM22" s="14"/>
      <c r="AN22" s="14"/>
      <c r="AO22" s="77">
        <f t="shared" si="0"/>
        <v>253884571</v>
      </c>
      <c r="AP22" s="77">
        <f t="shared" si="2"/>
        <v>786985552</v>
      </c>
      <c r="AQ22" s="77">
        <f t="shared" si="2"/>
        <v>786985552</v>
      </c>
    </row>
    <row r="23" spans="1:45" s="29" customFormat="1" ht="15.75" customHeight="1" x14ac:dyDescent="0.25">
      <c r="A23" s="67"/>
      <c r="B23" s="26"/>
      <c r="C23" s="26" t="s">
        <v>76</v>
      </c>
      <c r="D23" s="2" t="s">
        <v>316</v>
      </c>
      <c r="E23" s="127"/>
      <c r="F23" s="121"/>
      <c r="G23" s="121"/>
      <c r="H23" s="128"/>
      <c r="I23" s="14"/>
      <c r="J23" s="14"/>
      <c r="K23" s="128">
        <v>635095589</v>
      </c>
      <c r="L23" s="373">
        <v>691700721</v>
      </c>
      <c r="M23" s="373">
        <v>369816327</v>
      </c>
      <c r="N23" s="343"/>
      <c r="O23" s="338"/>
      <c r="P23" s="338"/>
      <c r="Q23" s="128"/>
      <c r="R23" s="131"/>
      <c r="S23" s="131"/>
      <c r="T23" s="69"/>
      <c r="U23" s="14"/>
      <c r="V23" s="14"/>
      <c r="W23" s="131"/>
      <c r="X23" s="14"/>
      <c r="Y23" s="14"/>
      <c r="Z23" s="14"/>
      <c r="AA23" s="14"/>
      <c r="AB23" s="14"/>
      <c r="AC23" s="69"/>
      <c r="AD23" s="14">
        <v>350837</v>
      </c>
      <c r="AE23" s="14">
        <v>350837</v>
      </c>
      <c r="AF23" s="128"/>
      <c r="AG23" s="14"/>
      <c r="AH23" s="14"/>
      <c r="AI23" s="128"/>
      <c r="AJ23" s="131"/>
      <c r="AK23" s="131"/>
      <c r="AL23" s="69"/>
      <c r="AM23" s="14"/>
      <c r="AN23" s="14"/>
      <c r="AO23" s="77">
        <f t="shared" si="0"/>
        <v>635095589</v>
      </c>
      <c r="AP23" s="77">
        <f t="shared" si="2"/>
        <v>692051558</v>
      </c>
      <c r="AQ23" s="77">
        <f t="shared" si="2"/>
        <v>370167164</v>
      </c>
    </row>
    <row r="24" spans="1:45" s="29" customFormat="1" ht="15.75" customHeight="1" x14ac:dyDescent="0.25">
      <c r="A24" s="67"/>
      <c r="B24" s="26"/>
      <c r="C24" s="26"/>
      <c r="D24" s="2"/>
      <c r="E24" s="127"/>
      <c r="F24" s="15"/>
      <c r="G24" s="15"/>
      <c r="H24" s="128"/>
      <c r="I24" s="14"/>
      <c r="J24" s="14"/>
      <c r="K24" s="128"/>
      <c r="L24" s="14"/>
      <c r="M24" s="14"/>
      <c r="N24" s="69"/>
      <c r="O24" s="14"/>
      <c r="P24" s="14"/>
      <c r="Q24" s="128"/>
      <c r="R24" s="131">
        <f t="shared" ref="R24" si="3">Q24</f>
        <v>0</v>
      </c>
      <c r="S24" s="131"/>
      <c r="T24" s="69"/>
      <c r="U24" s="14"/>
      <c r="V24" s="14"/>
      <c r="W24" s="131"/>
      <c r="X24" s="14"/>
      <c r="Y24" s="14"/>
      <c r="Z24" s="14"/>
      <c r="AA24" s="14"/>
      <c r="AB24" s="14"/>
      <c r="AC24" s="69"/>
      <c r="AD24" s="14"/>
      <c r="AE24" s="14"/>
      <c r="AF24" s="128"/>
      <c r="AG24" s="14"/>
      <c r="AH24" s="14"/>
      <c r="AI24" s="128"/>
      <c r="AJ24" s="14"/>
      <c r="AK24" s="14"/>
      <c r="AL24" s="69"/>
      <c r="AM24" s="14"/>
      <c r="AN24" s="14"/>
      <c r="AO24" s="77">
        <f t="shared" si="0"/>
        <v>0</v>
      </c>
      <c r="AP24" s="77">
        <f t="shared" si="2"/>
        <v>0</v>
      </c>
      <c r="AQ24" s="77"/>
      <c r="AR24" s="374"/>
    </row>
    <row r="25" spans="1:45" ht="15.75" x14ac:dyDescent="0.25">
      <c r="A25" s="67"/>
      <c r="B25" s="1"/>
      <c r="C25" s="1"/>
      <c r="D25" s="25" t="s">
        <v>78</v>
      </c>
      <c r="E25" s="71">
        <f>SUM(E7:E24)</f>
        <v>59950651</v>
      </c>
      <c r="F25" s="71">
        <f t="shared" ref="F25:AN25" si="4">SUM(F7:F24)</f>
        <v>63292756</v>
      </c>
      <c r="G25" s="71">
        <f>SUM(G7:G24)</f>
        <v>32416656</v>
      </c>
      <c r="H25" s="71">
        <f t="shared" si="4"/>
        <v>135717500</v>
      </c>
      <c r="I25" s="71">
        <f t="shared" si="4"/>
        <v>135717500</v>
      </c>
      <c r="J25" s="71">
        <f t="shared" si="4"/>
        <v>74431900</v>
      </c>
      <c r="K25" s="71">
        <f t="shared" si="4"/>
        <v>635095589</v>
      </c>
      <c r="L25" s="71">
        <f t="shared" si="4"/>
        <v>691700721</v>
      </c>
      <c r="M25" s="71">
        <f t="shared" si="4"/>
        <v>369816327</v>
      </c>
      <c r="N25" s="71">
        <f t="shared" si="4"/>
        <v>0</v>
      </c>
      <c r="O25" s="71">
        <f t="shared" si="4"/>
        <v>0</v>
      </c>
      <c r="P25" s="71">
        <f t="shared" si="4"/>
        <v>0</v>
      </c>
      <c r="Q25" s="71">
        <f t="shared" si="4"/>
        <v>94374986</v>
      </c>
      <c r="R25" s="71">
        <f t="shared" si="4"/>
        <v>94374986</v>
      </c>
      <c r="S25" s="71">
        <f t="shared" si="4"/>
        <v>45205643</v>
      </c>
      <c r="T25" s="71">
        <f t="shared" si="4"/>
        <v>2082429878</v>
      </c>
      <c r="U25" s="71">
        <f t="shared" si="4"/>
        <v>2082429878</v>
      </c>
      <c r="V25" s="71">
        <f t="shared" si="4"/>
        <v>0</v>
      </c>
      <c r="W25" s="71">
        <f t="shared" si="4"/>
        <v>10887000</v>
      </c>
      <c r="X25" s="71">
        <f t="shared" si="4"/>
        <v>10887000</v>
      </c>
      <c r="Y25" s="71">
        <f>SUM(Y7:Y24)</f>
        <v>3949590</v>
      </c>
      <c r="Z25" s="71"/>
      <c r="AA25" s="71"/>
      <c r="AB25" s="71">
        <f>SUM(AB7:AB24)</f>
        <v>811023</v>
      </c>
      <c r="AC25" s="71">
        <f t="shared" si="4"/>
        <v>0</v>
      </c>
      <c r="AD25" s="71">
        <f t="shared" si="4"/>
        <v>350837</v>
      </c>
      <c r="AE25" s="71">
        <f t="shared" si="4"/>
        <v>350837</v>
      </c>
      <c r="AF25" s="71">
        <f t="shared" si="4"/>
        <v>0</v>
      </c>
      <c r="AG25" s="71">
        <f t="shared" si="4"/>
        <v>0</v>
      </c>
      <c r="AH25" s="71">
        <f t="shared" si="4"/>
        <v>0</v>
      </c>
      <c r="AI25" s="71">
        <f t="shared" si="4"/>
        <v>253884571</v>
      </c>
      <c r="AJ25" s="71">
        <f t="shared" si="4"/>
        <v>786985552</v>
      </c>
      <c r="AK25" s="71">
        <f t="shared" si="4"/>
        <v>786985552</v>
      </c>
      <c r="AL25" s="71">
        <f t="shared" si="4"/>
        <v>0</v>
      </c>
      <c r="AM25" s="71">
        <f t="shared" si="4"/>
        <v>0</v>
      </c>
      <c r="AN25" s="71">
        <f t="shared" si="4"/>
        <v>0</v>
      </c>
      <c r="AO25" s="71">
        <f t="shared" si="0"/>
        <v>3272340175</v>
      </c>
      <c r="AP25" s="71">
        <f t="shared" si="2"/>
        <v>3865739230</v>
      </c>
      <c r="AQ25" s="71">
        <f>G25+J25+M25+P25+S25+V25+AE25+AK25+AN25+Y25+AB25</f>
        <v>1313967528</v>
      </c>
      <c r="AR25" s="122"/>
      <c r="AS25" s="115"/>
    </row>
    <row r="26" spans="1:45" x14ac:dyDescent="0.25">
      <c r="A26" s="67"/>
      <c r="B26" s="1"/>
      <c r="C26" s="1"/>
      <c r="D26" s="23" t="s">
        <v>79</v>
      </c>
      <c r="E26" s="72">
        <f>E7+E17+E18+E20+E21+E23+E12+E16+E22+E14</f>
        <v>28687156</v>
      </c>
      <c r="F26" s="72">
        <f t="shared" ref="F26:AO26" si="5">F7+F17+F18+F20+F21+F23+F12+F16+F22+F14</f>
        <v>31959261</v>
      </c>
      <c r="G26" s="72">
        <f>G7+G17+G18+G20+G21+G23+G12+G16+G22+G14</f>
        <v>20554607</v>
      </c>
      <c r="H26" s="72">
        <f t="shared" si="5"/>
        <v>135717500</v>
      </c>
      <c r="I26" s="72">
        <f t="shared" si="5"/>
        <v>135717500</v>
      </c>
      <c r="J26" s="72">
        <f t="shared" si="5"/>
        <v>74431900</v>
      </c>
      <c r="K26" s="72">
        <f t="shared" si="5"/>
        <v>635095589</v>
      </c>
      <c r="L26" s="72">
        <f t="shared" si="5"/>
        <v>691700721</v>
      </c>
      <c r="M26" s="72">
        <f t="shared" si="5"/>
        <v>369816327</v>
      </c>
      <c r="N26" s="72">
        <f t="shared" si="5"/>
        <v>0</v>
      </c>
      <c r="O26" s="72">
        <f t="shared" si="5"/>
        <v>0</v>
      </c>
      <c r="P26" s="72">
        <f t="shared" si="5"/>
        <v>0</v>
      </c>
      <c r="Q26" s="72">
        <f t="shared" si="5"/>
        <v>9235800</v>
      </c>
      <c r="R26" s="72">
        <f t="shared" si="5"/>
        <v>9235800</v>
      </c>
      <c r="S26" s="72">
        <f t="shared" si="5"/>
        <v>9108000</v>
      </c>
      <c r="T26" s="72"/>
      <c r="U26" s="72"/>
      <c r="V26" s="72"/>
      <c r="W26" s="72">
        <f>W7+W17+W18+W20+W21+W23+W16+W22+W14</f>
        <v>9000000</v>
      </c>
      <c r="X26" s="72">
        <f>X7+X17+X18+X20+X21+X23+X16+X22+X14</f>
        <v>9000000</v>
      </c>
      <c r="Y26" s="72">
        <f>Y7+Y17+Y18+Y20+Y21+Y23+Y16+Y22+Y14</f>
        <v>3943590</v>
      </c>
      <c r="Z26" s="72"/>
      <c r="AA26" s="72"/>
      <c r="AB26" s="72"/>
      <c r="AC26" s="72">
        <f t="shared" si="5"/>
        <v>0</v>
      </c>
      <c r="AD26" s="72">
        <f t="shared" si="5"/>
        <v>350837</v>
      </c>
      <c r="AE26" s="72">
        <f t="shared" si="5"/>
        <v>350837</v>
      </c>
      <c r="AF26" s="72">
        <f t="shared" si="5"/>
        <v>0</v>
      </c>
      <c r="AG26" s="72">
        <f t="shared" si="5"/>
        <v>0</v>
      </c>
      <c r="AH26" s="72">
        <f t="shared" si="5"/>
        <v>0</v>
      </c>
      <c r="AI26" s="72">
        <f t="shared" si="5"/>
        <v>253884571</v>
      </c>
      <c r="AJ26" s="72">
        <f t="shared" si="5"/>
        <v>786985552</v>
      </c>
      <c r="AK26" s="72">
        <f t="shared" si="5"/>
        <v>786985552</v>
      </c>
      <c r="AL26" s="72">
        <f t="shared" si="5"/>
        <v>0</v>
      </c>
      <c r="AM26" s="72">
        <f t="shared" si="5"/>
        <v>0</v>
      </c>
      <c r="AN26" s="72">
        <f t="shared" si="5"/>
        <v>0</v>
      </c>
      <c r="AO26" s="72">
        <f t="shared" si="5"/>
        <v>3155937494</v>
      </c>
      <c r="AP26" s="72">
        <f>F26+I26+L26+R26+X26+AD26+AJ26</f>
        <v>1664949671</v>
      </c>
      <c r="AQ26" s="72">
        <f>G26+J26+M26+S26+Y26+AE26+AK26</f>
        <v>1265190813</v>
      </c>
      <c r="AR26" s="115"/>
    </row>
    <row r="27" spans="1:45" s="29" customFormat="1" x14ac:dyDescent="0.25">
      <c r="A27" s="67"/>
      <c r="B27" s="1"/>
      <c r="C27" s="1"/>
      <c r="D27" s="23" t="s">
        <v>112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6"/>
      <c r="AM27" s="76"/>
      <c r="AN27" s="76"/>
      <c r="AO27" s="72">
        <f>E27+H27+K27+Q27+T27+AC27+AL27+N27+AI27</f>
        <v>0</v>
      </c>
      <c r="AP27" s="77">
        <f>F27+I27+L27+R27+U27+AD27+AM27+O27+AJ27</f>
        <v>0</v>
      </c>
      <c r="AQ27" s="77">
        <f>G27+J27+M27+S27+V27+AE27+AN27+P27+AK27</f>
        <v>0</v>
      </c>
      <c r="AR27" s="28"/>
      <c r="AS27" s="28"/>
    </row>
    <row r="28" spans="1:45" x14ac:dyDescent="0.25">
      <c r="A28" s="67"/>
      <c r="B28" s="1"/>
      <c r="C28" s="23"/>
      <c r="D28" s="23" t="s">
        <v>80</v>
      </c>
      <c r="E28" s="72">
        <f>E8+E9+E11+E13+E19+E10+E15</f>
        <v>31263495</v>
      </c>
      <c r="F28" s="72">
        <f t="shared" ref="F28:AO28" si="6">F8+F9+F11+F13+F19+F10+F15</f>
        <v>31333495</v>
      </c>
      <c r="G28" s="72">
        <f t="shared" si="6"/>
        <v>11862049</v>
      </c>
      <c r="H28" s="72">
        <f t="shared" si="6"/>
        <v>0</v>
      </c>
      <c r="I28" s="72">
        <f t="shared" si="6"/>
        <v>0</v>
      </c>
      <c r="J28" s="72">
        <f t="shared" si="6"/>
        <v>0</v>
      </c>
      <c r="K28" s="72">
        <f t="shared" si="6"/>
        <v>0</v>
      </c>
      <c r="L28" s="72">
        <f t="shared" si="6"/>
        <v>0</v>
      </c>
      <c r="M28" s="72">
        <f t="shared" si="6"/>
        <v>0</v>
      </c>
      <c r="N28" s="72">
        <f t="shared" si="6"/>
        <v>0</v>
      </c>
      <c r="O28" s="72">
        <f t="shared" si="6"/>
        <v>0</v>
      </c>
      <c r="P28" s="72">
        <f t="shared" si="6"/>
        <v>0</v>
      </c>
      <c r="Q28" s="72">
        <f t="shared" si="6"/>
        <v>85139186</v>
      </c>
      <c r="R28" s="72">
        <f t="shared" si="6"/>
        <v>85139186</v>
      </c>
      <c r="S28" s="72">
        <f t="shared" si="6"/>
        <v>36097643</v>
      </c>
      <c r="T28" s="72">
        <f t="shared" ref="T28:Y28" si="7">T12+T14</f>
        <v>2082429878</v>
      </c>
      <c r="U28" s="72">
        <f t="shared" si="7"/>
        <v>2082429878</v>
      </c>
      <c r="V28" s="72">
        <f t="shared" si="7"/>
        <v>0</v>
      </c>
      <c r="W28" s="72">
        <f t="shared" si="7"/>
        <v>1887000</v>
      </c>
      <c r="X28" s="72">
        <f t="shared" si="7"/>
        <v>1887000</v>
      </c>
      <c r="Y28" s="72">
        <f t="shared" si="7"/>
        <v>6000</v>
      </c>
      <c r="Z28" s="72"/>
      <c r="AA28" s="72"/>
      <c r="AB28" s="72">
        <f>AB8</f>
        <v>811023</v>
      </c>
      <c r="AC28" s="72">
        <f t="shared" ref="AC28:AN28" si="8">AC12+AC14</f>
        <v>0</v>
      </c>
      <c r="AD28" s="72">
        <f t="shared" si="8"/>
        <v>0</v>
      </c>
      <c r="AE28" s="72"/>
      <c r="AF28" s="72">
        <f t="shared" si="8"/>
        <v>0</v>
      </c>
      <c r="AG28" s="72">
        <f t="shared" si="8"/>
        <v>0</v>
      </c>
      <c r="AH28" s="72">
        <f t="shared" si="8"/>
        <v>0</v>
      </c>
      <c r="AI28" s="72">
        <f t="shared" si="8"/>
        <v>0</v>
      </c>
      <c r="AJ28" s="72">
        <f t="shared" si="8"/>
        <v>0</v>
      </c>
      <c r="AK28" s="72">
        <f t="shared" si="8"/>
        <v>0</v>
      </c>
      <c r="AL28" s="72">
        <f t="shared" si="8"/>
        <v>0</v>
      </c>
      <c r="AM28" s="72">
        <f t="shared" si="8"/>
        <v>0</v>
      </c>
      <c r="AN28" s="72">
        <f t="shared" si="8"/>
        <v>0</v>
      </c>
      <c r="AO28" s="72">
        <f t="shared" si="6"/>
        <v>116402681</v>
      </c>
      <c r="AP28" s="72">
        <f>F28+I28+L28+O28+R28+U28+X28+AD28+AJ28</f>
        <v>2200789559</v>
      </c>
      <c r="AQ28" s="72">
        <f>G28+J28+M28+P28+S28+V28+Y28+AE28+AK28</f>
        <v>47965692</v>
      </c>
      <c r="AR28" s="409"/>
      <c r="AS28" s="28"/>
    </row>
    <row r="29" spans="1:45" x14ac:dyDescent="0.25">
      <c r="A29" s="67"/>
      <c r="B29" s="1"/>
      <c r="C29" s="26"/>
      <c r="D29" s="27" t="s">
        <v>236</v>
      </c>
      <c r="E29" s="42">
        <f>E30+E31+E32</f>
        <v>357187</v>
      </c>
      <c r="F29" s="42">
        <f t="shared" ref="F29:AO29" si="9">F30+F31+F32</f>
        <v>457187</v>
      </c>
      <c r="G29" s="42">
        <f t="shared" si="9"/>
        <v>127575</v>
      </c>
      <c r="H29" s="42">
        <f t="shared" si="9"/>
        <v>0</v>
      </c>
      <c r="I29" s="42">
        <f t="shared" si="9"/>
        <v>0</v>
      </c>
      <c r="J29" s="42">
        <f t="shared" si="9"/>
        <v>0</v>
      </c>
      <c r="K29" s="42">
        <f t="shared" si="9"/>
        <v>0</v>
      </c>
      <c r="L29" s="42">
        <f t="shared" si="9"/>
        <v>0</v>
      </c>
      <c r="M29" s="42">
        <f t="shared" si="9"/>
        <v>0</v>
      </c>
      <c r="N29" s="42">
        <f t="shared" si="9"/>
        <v>0</v>
      </c>
      <c r="O29" s="42">
        <f t="shared" si="9"/>
        <v>0</v>
      </c>
      <c r="P29" s="42">
        <f t="shared" si="9"/>
        <v>0</v>
      </c>
      <c r="Q29" s="42">
        <f t="shared" si="9"/>
        <v>0</v>
      </c>
      <c r="R29" s="42">
        <f t="shared" si="9"/>
        <v>0</v>
      </c>
      <c r="S29" s="42">
        <f t="shared" si="9"/>
        <v>0</v>
      </c>
      <c r="T29" s="42">
        <f t="shared" si="9"/>
        <v>0</v>
      </c>
      <c r="U29" s="42">
        <f t="shared" si="9"/>
        <v>0</v>
      </c>
      <c r="V29" s="42">
        <f t="shared" si="9"/>
        <v>0</v>
      </c>
      <c r="W29" s="42">
        <f t="shared" si="9"/>
        <v>0</v>
      </c>
      <c r="X29" s="42">
        <f t="shared" si="9"/>
        <v>0</v>
      </c>
      <c r="Y29" s="42">
        <f t="shared" si="9"/>
        <v>0</v>
      </c>
      <c r="Z29" s="42"/>
      <c r="AA29" s="42"/>
      <c r="AB29" s="42"/>
      <c r="AC29" s="42">
        <f t="shared" si="9"/>
        <v>0</v>
      </c>
      <c r="AD29" s="42">
        <f t="shared" si="9"/>
        <v>0</v>
      </c>
      <c r="AE29" s="42">
        <f t="shared" si="9"/>
        <v>0</v>
      </c>
      <c r="AF29" s="42">
        <f t="shared" si="9"/>
        <v>0</v>
      </c>
      <c r="AG29" s="42">
        <f t="shared" si="9"/>
        <v>0</v>
      </c>
      <c r="AH29" s="42">
        <f t="shared" si="9"/>
        <v>0</v>
      </c>
      <c r="AI29" s="42">
        <f t="shared" si="9"/>
        <v>3982336</v>
      </c>
      <c r="AJ29" s="42">
        <f t="shared" si="9"/>
        <v>3982336</v>
      </c>
      <c r="AK29" s="42">
        <f t="shared" si="9"/>
        <v>3982336</v>
      </c>
      <c r="AL29" s="42">
        <f t="shared" si="9"/>
        <v>122214872</v>
      </c>
      <c r="AM29" s="42">
        <f t="shared" si="9"/>
        <v>128363672</v>
      </c>
      <c r="AN29" s="42">
        <f t="shared" si="9"/>
        <v>59797287</v>
      </c>
      <c r="AO29" s="42">
        <f t="shared" si="9"/>
        <v>126554395</v>
      </c>
      <c r="AP29" s="42">
        <f>AP30+AP31+AP32</f>
        <v>132803195</v>
      </c>
      <c r="AQ29" s="42">
        <f>AQ30+AQ31+AQ32</f>
        <v>63907198</v>
      </c>
      <c r="AR29" s="134"/>
      <c r="AS29" s="28"/>
    </row>
    <row r="30" spans="1:45" x14ac:dyDescent="0.25">
      <c r="A30" s="67"/>
      <c r="B30" s="1"/>
      <c r="C30" s="1" t="s">
        <v>76</v>
      </c>
      <c r="D30" s="30" t="s">
        <v>81</v>
      </c>
      <c r="E30" s="73">
        <f>'3.mellékletPH.bev.'!D9</f>
        <v>0</v>
      </c>
      <c r="F30" s="73">
        <f>'3.mellékletPH.bev.'!E9</f>
        <v>100000</v>
      </c>
      <c r="G30" s="73">
        <f>'3.mellékletPH.bev.'!F9</f>
        <v>70425</v>
      </c>
      <c r="H30" s="73">
        <f>'3.mellékletPH.bev.'!G9</f>
        <v>0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>
        <f>'3.mellékletPH.bev.'!Y7</f>
        <v>3982336</v>
      </c>
      <c r="AJ30" s="73">
        <f>'3.mellékletPH.bev.'!Z7</f>
        <v>3982336</v>
      </c>
      <c r="AK30" s="73">
        <f>'3.mellékletPH.bev.'!AA7</f>
        <v>3982336</v>
      </c>
      <c r="AL30" s="73">
        <f>'3.mellékletPH.bev.'!V7</f>
        <v>106938013</v>
      </c>
      <c r="AM30" s="73">
        <f>'3.mellékletPH.bev.'!W7</f>
        <v>111748365</v>
      </c>
      <c r="AN30" s="73">
        <f>'3.mellékletPH.bev.'!X7</f>
        <v>52322626</v>
      </c>
      <c r="AO30" s="77">
        <f>E30+H30+K30+Q30+T30+AC30+AL30+AI30</f>
        <v>110920349</v>
      </c>
      <c r="AP30" s="77">
        <f>F30+I30+L30+R30+U30+AD30+AM30+AJ30</f>
        <v>115830701</v>
      </c>
      <c r="AQ30" s="77">
        <f>G30+J30+M30+S30+V30+AE30+AN30+AK30</f>
        <v>56375387</v>
      </c>
      <c r="AR30" s="28"/>
      <c r="AS30" s="28"/>
    </row>
    <row r="31" spans="1:45" s="29" customFormat="1" x14ac:dyDescent="0.25">
      <c r="A31" s="67"/>
      <c r="B31" s="1"/>
      <c r="C31" s="1" t="s">
        <v>77</v>
      </c>
      <c r="D31" s="30" t="s">
        <v>82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>
        <f>'3.mellékletPH.bev.'!V6</f>
        <v>15276859</v>
      </c>
      <c r="AM31" s="73">
        <f>'3.mellékletPH.bev.'!W6</f>
        <v>16615307</v>
      </c>
      <c r="AN31" s="73">
        <f>'3.mellékletPH.bev.'!X6</f>
        <v>7474661</v>
      </c>
      <c r="AO31" s="77">
        <f>E31+H31+K31+Q31+T31+AC31+AL31</f>
        <v>15276859</v>
      </c>
      <c r="AP31" s="77">
        <f>F31+I31+L31+R31+U31+AD31+AM31+AJ31</f>
        <v>16615307</v>
      </c>
      <c r="AQ31" s="77">
        <f>G31+J31+M31+S31+V31+AE31+AN31+AK31</f>
        <v>7474661</v>
      </c>
      <c r="AR31" s="28"/>
      <c r="AS31" s="28"/>
    </row>
    <row r="32" spans="1:45" x14ac:dyDescent="0.25">
      <c r="A32" s="67"/>
      <c r="B32" s="1"/>
      <c r="C32" s="1" t="s">
        <v>116</v>
      </c>
      <c r="D32" s="30" t="s">
        <v>112</v>
      </c>
      <c r="E32" s="73">
        <f>'3.mellékletPH.bev.'!D10</f>
        <v>357187</v>
      </c>
      <c r="F32" s="73">
        <f>'3.mellékletPH.bev.'!E10</f>
        <v>357187</v>
      </c>
      <c r="G32" s="73">
        <f>'3.mellékletPH.bev.'!F10</f>
        <v>57150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364"/>
      <c r="AN32" s="364"/>
      <c r="AO32" s="77">
        <f>E32+H32+K32+Q32+T32+AC32+AL32</f>
        <v>357187</v>
      </c>
      <c r="AP32" s="77">
        <f>F32+I32+L32+R32+U32+AD32+AM32+AJ32</f>
        <v>357187</v>
      </c>
      <c r="AQ32" s="77">
        <f>G32+J32+M32+S32+V32+AE32+AN32+AK32</f>
        <v>57150</v>
      </c>
      <c r="AR32" s="28"/>
      <c r="AS32" s="28"/>
    </row>
    <row r="33" spans="1:45" x14ac:dyDescent="0.25">
      <c r="A33" s="67"/>
      <c r="B33" s="1"/>
      <c r="C33" s="26"/>
      <c r="D33" s="27" t="s">
        <v>237</v>
      </c>
      <c r="E33" s="42">
        <f>E34+E35</f>
        <v>176301</v>
      </c>
      <c r="F33" s="42">
        <f t="shared" ref="F33:G33" si="10">F34+F35</f>
        <v>246301</v>
      </c>
      <c r="G33" s="42">
        <f t="shared" si="10"/>
        <v>167168</v>
      </c>
      <c r="H33" s="42">
        <f t="shared" ref="H33" si="11">H34+H35</f>
        <v>0</v>
      </c>
      <c r="I33" s="42">
        <f t="shared" ref="I33:J33" si="12">I34+I35</f>
        <v>0</v>
      </c>
      <c r="J33" s="42">
        <f t="shared" si="12"/>
        <v>0</v>
      </c>
      <c r="K33" s="42">
        <f t="shared" ref="K33" si="13">K34+K35</f>
        <v>0</v>
      </c>
      <c r="L33" s="42">
        <f t="shared" ref="L33:M33" si="14">L34+L35</f>
        <v>0</v>
      </c>
      <c r="M33" s="42">
        <f t="shared" si="14"/>
        <v>0</v>
      </c>
      <c r="N33" s="42">
        <f t="shared" ref="N33" si="15">N34+N35</f>
        <v>0</v>
      </c>
      <c r="O33" s="42">
        <f t="shared" ref="O33:P33" si="16">O34+O35</f>
        <v>0</v>
      </c>
      <c r="P33" s="42">
        <f t="shared" si="16"/>
        <v>0</v>
      </c>
      <c r="Q33" s="42">
        <f t="shared" ref="Q33" si="17">Q34+Q35</f>
        <v>0</v>
      </c>
      <c r="R33" s="42">
        <f t="shared" ref="R33:S33" si="18">R34+R35</f>
        <v>0</v>
      </c>
      <c r="S33" s="42">
        <f t="shared" si="18"/>
        <v>0</v>
      </c>
      <c r="T33" s="42">
        <f t="shared" ref="T33" si="19">T34+T35</f>
        <v>0</v>
      </c>
      <c r="U33" s="42">
        <f t="shared" ref="U33:V33" si="20">U34+U35</f>
        <v>0</v>
      </c>
      <c r="V33" s="42">
        <f t="shared" si="20"/>
        <v>0</v>
      </c>
      <c r="W33" s="42">
        <f t="shared" ref="W33" si="21">W34+W35</f>
        <v>0</v>
      </c>
      <c r="X33" s="42">
        <f t="shared" ref="X33:Y33" si="22">X34+X35</f>
        <v>0</v>
      </c>
      <c r="Y33" s="42">
        <f t="shared" si="22"/>
        <v>0</v>
      </c>
      <c r="Z33" s="42"/>
      <c r="AA33" s="42"/>
      <c r="AB33" s="42"/>
      <c r="AC33" s="42">
        <f t="shared" ref="AC33" si="23">AC34+AC35</f>
        <v>0</v>
      </c>
      <c r="AD33" s="42">
        <f t="shared" ref="AD33:AE33" si="24">AD34+AD35</f>
        <v>0</v>
      </c>
      <c r="AE33" s="42">
        <f t="shared" si="24"/>
        <v>0</v>
      </c>
      <c r="AF33" s="42">
        <f t="shared" ref="AF33" si="25">AF34+AF35</f>
        <v>0</v>
      </c>
      <c r="AG33" s="42">
        <f t="shared" ref="AG33:AH33" si="26">AG34+AG35</f>
        <v>0</v>
      </c>
      <c r="AH33" s="42">
        <f t="shared" si="26"/>
        <v>0</v>
      </c>
      <c r="AI33" s="42">
        <f t="shared" ref="AI33" si="27">AI34+AI35</f>
        <v>3755949</v>
      </c>
      <c r="AJ33" s="42">
        <f t="shared" ref="AJ33:AK33" si="28">AJ34+AJ35</f>
        <v>3755949</v>
      </c>
      <c r="AK33" s="42">
        <f t="shared" si="28"/>
        <v>3755949</v>
      </c>
      <c r="AL33" s="42">
        <f t="shared" ref="AL33" si="29">AL34+AL35</f>
        <v>211650423</v>
      </c>
      <c r="AM33" s="42">
        <f t="shared" ref="AM33:AN33" si="30">AM34+AM35</f>
        <v>223190968</v>
      </c>
      <c r="AN33" s="42">
        <f t="shared" si="30"/>
        <v>96064656</v>
      </c>
      <c r="AO33" s="42">
        <f t="shared" ref="AO33" si="31">AO34+AO35</f>
        <v>215582673</v>
      </c>
      <c r="AP33" s="42">
        <f>AP34+AP35</f>
        <v>227193218</v>
      </c>
      <c r="AQ33" s="42">
        <f>AQ34+AQ35</f>
        <v>99987773</v>
      </c>
      <c r="AR33" s="28"/>
      <c r="AS33" s="28"/>
    </row>
    <row r="34" spans="1:45" s="29" customFormat="1" x14ac:dyDescent="0.25">
      <c r="A34" s="67"/>
      <c r="B34" s="1"/>
      <c r="C34" s="1" t="s">
        <v>76</v>
      </c>
      <c r="D34" s="30" t="s">
        <v>81</v>
      </c>
      <c r="E34" s="73">
        <f>'5. Óvoda bev'!D14</f>
        <v>176301</v>
      </c>
      <c r="F34" s="73">
        <f>'5. Óvoda bev'!E14</f>
        <v>246301</v>
      </c>
      <c r="G34" s="73">
        <f>'5. Óvoda bev'!F14</f>
        <v>167168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>
        <f>'5. Óvoda bev'!Y14</f>
        <v>3755949</v>
      </c>
      <c r="AJ34" s="73">
        <f>'5. Óvoda bev'!Z6</f>
        <v>3755949</v>
      </c>
      <c r="AK34" s="73">
        <f>'5. Óvoda bev'!AA6</f>
        <v>3755949</v>
      </c>
      <c r="AL34" s="73">
        <f>'5. Óvoda bev'!V6</f>
        <v>211650423</v>
      </c>
      <c r="AM34" s="73">
        <f>'5. Óvoda bev'!W14</f>
        <v>223190968</v>
      </c>
      <c r="AN34" s="73">
        <f>'5. Óvoda bev'!X14</f>
        <v>96064656</v>
      </c>
      <c r="AO34" s="73">
        <f>E34+H34+K34+N34+Q34+T34+AC34+AL34+AI34</f>
        <v>215582673</v>
      </c>
      <c r="AP34" s="73">
        <f>F34+I34+L34+O34+R34+U34+AD34+AM34+AJ34</f>
        <v>227193218</v>
      </c>
      <c r="AQ34" s="73">
        <f>G34+J34+M34+P34+S34+V34+AE34+AN34+AK34</f>
        <v>99987773</v>
      </c>
      <c r="AR34" s="28"/>
      <c r="AS34" s="28"/>
    </row>
    <row r="35" spans="1:45" x14ac:dyDescent="0.25">
      <c r="A35" s="67"/>
      <c r="B35" s="1"/>
      <c r="C35" s="1" t="s">
        <v>77</v>
      </c>
      <c r="D35" s="30" t="s">
        <v>82</v>
      </c>
      <c r="E35" s="73">
        <f>'5. Óvoda bev'!D15</f>
        <v>0</v>
      </c>
      <c r="F35" s="73">
        <f>'5. Óvoda bev'!E15</f>
        <v>0</v>
      </c>
      <c r="G35" s="73">
        <f>'5. Óvoda bev'!F15</f>
        <v>0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364"/>
      <c r="AM35" s="364"/>
      <c r="AN35" s="364"/>
      <c r="AO35" s="73">
        <f>E35+H35+K35+N35+Q35+T35+AC35+AL35</f>
        <v>0</v>
      </c>
      <c r="AP35" s="73">
        <f>F35+I35+L35+O35+R35+U35+AD35+AM35+AJ35</f>
        <v>0</v>
      </c>
      <c r="AQ35" s="73">
        <f>G35+J35+M35+P35+S35+V35+AE35+AN35+AK35</f>
        <v>0</v>
      </c>
      <c r="AR35" s="28"/>
      <c r="AS35" s="28"/>
    </row>
    <row r="36" spans="1:45" x14ac:dyDescent="0.25">
      <c r="A36" s="67"/>
      <c r="B36" s="1"/>
      <c r="C36" s="26"/>
      <c r="D36" s="27" t="s">
        <v>238</v>
      </c>
      <c r="E36" s="42">
        <f ca="1">E37+E38</f>
        <v>103045623</v>
      </c>
      <c r="F36" s="42">
        <f t="shared" ref="F36:AN36" ca="1" si="32">F37+F38</f>
        <v>103126676</v>
      </c>
      <c r="G36" s="42">
        <f t="shared" ca="1" si="32"/>
        <v>53583191</v>
      </c>
      <c r="H36" s="42">
        <f t="shared" si="32"/>
        <v>0</v>
      </c>
      <c r="I36" s="42">
        <f t="shared" si="32"/>
        <v>0</v>
      </c>
      <c r="J36" s="42">
        <f t="shared" si="32"/>
        <v>0</v>
      </c>
      <c r="K36" s="42">
        <f t="shared" si="32"/>
        <v>0</v>
      </c>
      <c r="L36" s="42">
        <f t="shared" si="32"/>
        <v>0</v>
      </c>
      <c r="M36" s="42">
        <f t="shared" si="32"/>
        <v>0</v>
      </c>
      <c r="N36" s="42">
        <f t="shared" si="32"/>
        <v>0</v>
      </c>
      <c r="O36" s="42">
        <f t="shared" si="32"/>
        <v>0</v>
      </c>
      <c r="P36" s="42">
        <f t="shared" si="32"/>
        <v>0</v>
      </c>
      <c r="Q36" s="42">
        <f t="shared" si="32"/>
        <v>1080983</v>
      </c>
      <c r="R36" s="42">
        <f t="shared" si="32"/>
        <v>1080983</v>
      </c>
      <c r="S36" s="42">
        <f t="shared" si="32"/>
        <v>688842</v>
      </c>
      <c r="T36" s="42">
        <f t="shared" si="32"/>
        <v>0</v>
      </c>
      <c r="U36" s="42">
        <f t="shared" si="32"/>
        <v>0</v>
      </c>
      <c r="V36" s="42">
        <f t="shared" si="32"/>
        <v>0</v>
      </c>
      <c r="W36" s="42">
        <f>W37+W38</f>
        <v>0</v>
      </c>
      <c r="X36" s="42">
        <f t="shared" si="32"/>
        <v>0</v>
      </c>
      <c r="Y36" s="42">
        <f t="shared" si="32"/>
        <v>0</v>
      </c>
      <c r="Z36" s="42"/>
      <c r="AA36" s="42"/>
      <c r="AB36" s="42">
        <f>AB37+AB38</f>
        <v>15748</v>
      </c>
      <c r="AC36" s="42">
        <f t="shared" si="32"/>
        <v>0</v>
      </c>
      <c r="AD36" s="42">
        <f t="shared" si="32"/>
        <v>0</v>
      </c>
      <c r="AE36" s="42">
        <f t="shared" si="32"/>
        <v>0</v>
      </c>
      <c r="AF36" s="42">
        <f t="shared" si="32"/>
        <v>0</v>
      </c>
      <c r="AG36" s="42">
        <f t="shared" si="32"/>
        <v>3099000</v>
      </c>
      <c r="AH36" s="42">
        <f t="shared" si="32"/>
        <v>7494787</v>
      </c>
      <c r="AI36" s="42">
        <f t="shared" ca="1" si="32"/>
        <v>3869634</v>
      </c>
      <c r="AJ36" s="42">
        <f ca="1">AJ37+AJ38</f>
        <v>3869634</v>
      </c>
      <c r="AK36" s="42">
        <f ca="1">AK37+AK38</f>
        <v>3869634</v>
      </c>
      <c r="AL36" s="42">
        <f t="shared" ca="1" si="32"/>
        <v>228592194</v>
      </c>
      <c r="AM36" s="42">
        <f t="shared" ca="1" si="32"/>
        <v>234607261</v>
      </c>
      <c r="AN36" s="42">
        <f t="shared" ca="1" si="32"/>
        <v>119868323</v>
      </c>
      <c r="AO36" s="42">
        <f ca="1">AO37+AO38</f>
        <v>336588434</v>
      </c>
      <c r="AP36" s="42">
        <f ca="1">AP37+AP38</f>
        <v>345783554</v>
      </c>
      <c r="AQ36" s="42">
        <f ca="1">AQ37+AQ38</f>
        <v>185520525</v>
      </c>
      <c r="AR36" s="28"/>
      <c r="AS36" s="28"/>
    </row>
    <row r="37" spans="1:45" s="29" customFormat="1" x14ac:dyDescent="0.25">
      <c r="A37" s="67"/>
      <c r="B37" s="1"/>
      <c r="C37" s="1" t="s">
        <v>76</v>
      </c>
      <c r="D37" s="30" t="s">
        <v>81</v>
      </c>
      <c r="E37" s="73">
        <f ca="1">'4 ESZI bev'!D19</f>
        <v>12662125</v>
      </c>
      <c r="F37" s="73">
        <f ca="1">'4 ESZI bev'!E19</f>
        <v>12662125</v>
      </c>
      <c r="G37" s="73">
        <f ca="1">'4 ESZI bev'!F19</f>
        <v>8380536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>
        <f ca="1">'4 ESZI bev'!AB19</f>
        <v>0</v>
      </c>
      <c r="AJ37" s="73">
        <f ca="1">'4 ESZI bev'!AC19</f>
        <v>0</v>
      </c>
      <c r="AK37" s="73">
        <f ca="1">'4 ESZI bev'!AD19</f>
        <v>0</v>
      </c>
      <c r="AL37" s="73">
        <f ca="1">'4 ESZI bev'!Y19</f>
        <v>36634845</v>
      </c>
      <c r="AM37" s="73">
        <f ca="1">'4 ESZI bev'!Z19</f>
        <v>37414972</v>
      </c>
      <c r="AN37" s="73">
        <f ca="1">'4 ESZI bev'!AA19</f>
        <v>19202905</v>
      </c>
      <c r="AO37" s="77">
        <f ca="1">E37+H37+K37+Q37+T37+AC37+AL37+AI37</f>
        <v>49296970</v>
      </c>
      <c r="AP37" s="77">
        <f ca="1">F37+I37+L37+R37+U37+AD37+AM37+AJ37</f>
        <v>50077097</v>
      </c>
      <c r="AQ37" s="77">
        <f ca="1">G37+J37+M37+S37+V37+AE37+AN37+AK37</f>
        <v>27583441</v>
      </c>
      <c r="AR37" s="28"/>
      <c r="AS37" s="28"/>
    </row>
    <row r="38" spans="1:45" x14ac:dyDescent="0.25">
      <c r="A38" s="67"/>
      <c r="B38" s="1"/>
      <c r="C38" s="1" t="s">
        <v>77</v>
      </c>
      <c r="D38" s="30" t="s">
        <v>82</v>
      </c>
      <c r="E38" s="73">
        <f>'4 ESZI bev'!D20</f>
        <v>90383498</v>
      </c>
      <c r="F38" s="73">
        <f>'4 ESZI bev'!E20</f>
        <v>90464551</v>
      </c>
      <c r="G38" s="73">
        <f>'4 ESZI bev'!F20</f>
        <v>45202655</v>
      </c>
      <c r="H38" s="73"/>
      <c r="I38" s="73"/>
      <c r="J38" s="73"/>
      <c r="K38" s="73"/>
      <c r="L38" s="73"/>
      <c r="M38" s="73"/>
      <c r="N38" s="73"/>
      <c r="O38" s="73"/>
      <c r="P38" s="73"/>
      <c r="Q38" s="73">
        <f>'4 ESZI bev'!J17</f>
        <v>1080983</v>
      </c>
      <c r="R38" s="73">
        <f>'4 ESZI bev'!K17</f>
        <v>1080983</v>
      </c>
      <c r="S38" s="73">
        <f>'4 ESZI bev'!L17</f>
        <v>688842</v>
      </c>
      <c r="T38" s="73"/>
      <c r="U38" s="73"/>
      <c r="V38" s="73"/>
      <c r="W38" s="73"/>
      <c r="X38" s="73"/>
      <c r="Y38" s="73"/>
      <c r="Z38" s="73"/>
      <c r="AA38" s="73"/>
      <c r="AB38" s="73">
        <f>'4 ESZI bev'!X20</f>
        <v>15748</v>
      </c>
      <c r="AC38" s="73"/>
      <c r="AD38" s="73"/>
      <c r="AE38" s="73"/>
      <c r="AF38" s="73">
        <f>'4 ESZI bev'!P18</f>
        <v>0</v>
      </c>
      <c r="AG38" s="73">
        <f>'4 ESZI bev'!Q20</f>
        <v>3099000</v>
      </c>
      <c r="AH38" s="73">
        <f>'4 ESZI bev'!R20</f>
        <v>7494787</v>
      </c>
      <c r="AI38" s="73">
        <f>'4 ESZI bev'!AB18</f>
        <v>3869634</v>
      </c>
      <c r="AJ38" s="73">
        <f>'4 ESZI bev'!AC20</f>
        <v>3869634</v>
      </c>
      <c r="AK38" s="73">
        <f>'4 ESZI bev'!AD20</f>
        <v>3869634</v>
      </c>
      <c r="AL38" s="73">
        <f>'4 ESZI bev'!Y20</f>
        <v>191957349</v>
      </c>
      <c r="AM38" s="73">
        <f>'4 ESZI bev'!Z20</f>
        <v>197192289</v>
      </c>
      <c r="AN38" s="73">
        <f>'4 ESZI bev'!AA20</f>
        <v>100665418</v>
      </c>
      <c r="AO38" s="77">
        <f>E38+H38+K38+Q38+T38+AC38+AL38+AI38+AF38</f>
        <v>287291464</v>
      </c>
      <c r="AP38" s="77">
        <f>F38+I38+L38+R38+U38+AD38+AM38+AJ38+AG38</f>
        <v>295706457</v>
      </c>
      <c r="AQ38" s="77">
        <f>G38+J38+M38+S38+V38+AE38+AN38+AK38+AH38+AB38</f>
        <v>157937084</v>
      </c>
      <c r="AR38" s="28"/>
      <c r="AS38" s="28"/>
    </row>
    <row r="39" spans="1:45" ht="15.75" x14ac:dyDescent="0.25">
      <c r="A39" s="67"/>
      <c r="B39" s="1"/>
      <c r="C39" s="26"/>
      <c r="D39" s="25" t="s">
        <v>83</v>
      </c>
      <c r="E39" s="42">
        <f ca="1">E29+E33+E36+E25</f>
        <v>163529762</v>
      </c>
      <c r="F39" s="42">
        <f t="shared" ref="F39:AN39" ca="1" si="33">F29+F33+F36+F25</f>
        <v>167122920</v>
      </c>
      <c r="G39" s="42">
        <f ca="1">G29+G33+G36+G25</f>
        <v>86294590</v>
      </c>
      <c r="H39" s="42">
        <f t="shared" si="33"/>
        <v>135717500</v>
      </c>
      <c r="I39" s="42">
        <f t="shared" si="33"/>
        <v>135717500</v>
      </c>
      <c r="J39" s="42">
        <f t="shared" si="33"/>
        <v>74431900</v>
      </c>
      <c r="K39" s="42">
        <f t="shared" si="33"/>
        <v>635095589</v>
      </c>
      <c r="L39" s="42">
        <f t="shared" si="33"/>
        <v>691700721</v>
      </c>
      <c r="M39" s="42">
        <f>M29+M33+M36+M25</f>
        <v>369816327</v>
      </c>
      <c r="N39" s="42">
        <f t="shared" si="33"/>
        <v>0</v>
      </c>
      <c r="O39" s="42">
        <f t="shared" si="33"/>
        <v>0</v>
      </c>
      <c r="P39" s="42">
        <f t="shared" si="33"/>
        <v>0</v>
      </c>
      <c r="Q39" s="42">
        <f t="shared" si="33"/>
        <v>95455969</v>
      </c>
      <c r="R39" s="42">
        <f>R29+R33+R36+R25</f>
        <v>95455969</v>
      </c>
      <c r="S39" s="42">
        <f>S29+S33+S36+S25</f>
        <v>45894485</v>
      </c>
      <c r="T39" s="42">
        <f t="shared" si="33"/>
        <v>2082429878</v>
      </c>
      <c r="U39" s="42">
        <f t="shared" si="33"/>
        <v>2082429878</v>
      </c>
      <c r="V39" s="42">
        <f t="shared" si="33"/>
        <v>0</v>
      </c>
      <c r="W39" s="42">
        <f t="shared" si="33"/>
        <v>10887000</v>
      </c>
      <c r="X39" s="42">
        <f t="shared" si="33"/>
        <v>10887000</v>
      </c>
      <c r="Y39" s="42">
        <f t="shared" si="33"/>
        <v>3949590</v>
      </c>
      <c r="Z39" s="42"/>
      <c r="AA39" s="42"/>
      <c r="AB39" s="42">
        <f>AB25+AB29+AB33+AB36</f>
        <v>826771</v>
      </c>
      <c r="AC39" s="42">
        <f t="shared" si="33"/>
        <v>0</v>
      </c>
      <c r="AD39" s="42">
        <f t="shared" si="33"/>
        <v>350837</v>
      </c>
      <c r="AE39" s="42">
        <f t="shared" si="33"/>
        <v>350837</v>
      </c>
      <c r="AF39" s="42">
        <f t="shared" si="33"/>
        <v>0</v>
      </c>
      <c r="AG39" s="42">
        <f t="shared" si="33"/>
        <v>3099000</v>
      </c>
      <c r="AH39" s="42">
        <f t="shared" si="33"/>
        <v>7494787</v>
      </c>
      <c r="AI39" s="42">
        <f t="shared" ca="1" si="33"/>
        <v>265492490</v>
      </c>
      <c r="AJ39" s="42">
        <f t="shared" ca="1" si="33"/>
        <v>798593471</v>
      </c>
      <c r="AK39" s="42">
        <f t="shared" ca="1" si="33"/>
        <v>798593471</v>
      </c>
      <c r="AL39" s="42">
        <f t="shared" ca="1" si="33"/>
        <v>562457489</v>
      </c>
      <c r="AM39" s="42">
        <f t="shared" ca="1" si="33"/>
        <v>586161901</v>
      </c>
      <c r="AN39" s="42">
        <f t="shared" ca="1" si="33"/>
        <v>275730266</v>
      </c>
      <c r="AO39" s="42">
        <f ca="1">AO29+AO33+AO36+AO25</f>
        <v>3951065677</v>
      </c>
      <c r="AP39" s="42">
        <f ca="1">AP29+AP33+AP36+AP25</f>
        <v>4571519197</v>
      </c>
      <c r="AQ39" s="42">
        <f ca="1">AQ29+AQ33+AQ36+AQ25</f>
        <v>1663383024</v>
      </c>
      <c r="AR39" s="122"/>
    </row>
    <row r="40" spans="1:45" ht="15.75" x14ac:dyDescent="0.25">
      <c r="A40" s="67"/>
      <c r="B40" s="1"/>
      <c r="C40" s="26"/>
      <c r="D40" s="25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42"/>
      <c r="AQ40" s="42"/>
      <c r="AR40" s="115"/>
    </row>
    <row r="41" spans="1:45" x14ac:dyDescent="0.25">
      <c r="A41" s="67"/>
      <c r="B41" s="1"/>
      <c r="C41" s="23"/>
      <c r="D41" s="23" t="s">
        <v>84</v>
      </c>
      <c r="E41" s="72">
        <f ca="1">E26+E30+E34+E37</f>
        <v>41525582</v>
      </c>
      <c r="F41" s="72">
        <f t="shared" ref="F41:AI41" ca="1" si="34">F26+F30+F34+F37</f>
        <v>44967687</v>
      </c>
      <c r="G41" s="72">
        <f ca="1">G26+G30+G34+G37</f>
        <v>29172736</v>
      </c>
      <c r="H41" s="72">
        <f t="shared" si="34"/>
        <v>135717500</v>
      </c>
      <c r="I41" s="72">
        <f t="shared" si="34"/>
        <v>135717500</v>
      </c>
      <c r="J41" s="72">
        <f t="shared" si="34"/>
        <v>74431900</v>
      </c>
      <c r="K41" s="72">
        <f t="shared" si="34"/>
        <v>635095589</v>
      </c>
      <c r="L41" s="72">
        <f t="shared" si="34"/>
        <v>691700721</v>
      </c>
      <c r="M41" s="72">
        <f t="shared" si="34"/>
        <v>369816327</v>
      </c>
      <c r="N41" s="72">
        <f t="shared" si="34"/>
        <v>0</v>
      </c>
      <c r="O41" s="72">
        <f t="shared" si="34"/>
        <v>0</v>
      </c>
      <c r="P41" s="72">
        <f t="shared" si="34"/>
        <v>0</v>
      </c>
      <c r="Q41" s="72">
        <f t="shared" si="34"/>
        <v>9235800</v>
      </c>
      <c r="R41" s="72">
        <f t="shared" si="34"/>
        <v>9235800</v>
      </c>
      <c r="S41" s="72">
        <f t="shared" si="34"/>
        <v>9108000</v>
      </c>
      <c r="T41" s="72">
        <f t="shared" si="34"/>
        <v>0</v>
      </c>
      <c r="U41" s="72">
        <f t="shared" si="34"/>
        <v>0</v>
      </c>
      <c r="V41" s="72">
        <f t="shared" si="34"/>
        <v>0</v>
      </c>
      <c r="W41" s="72">
        <f t="shared" si="34"/>
        <v>9000000</v>
      </c>
      <c r="X41" s="72">
        <f t="shared" si="34"/>
        <v>9000000</v>
      </c>
      <c r="Y41" s="72">
        <f>Y26+Y30+Y34+Y37</f>
        <v>3943590</v>
      </c>
      <c r="Z41" s="72"/>
      <c r="AA41" s="72"/>
      <c r="AB41" s="72">
        <f>AB26+AB30+AB34+AB37</f>
        <v>0</v>
      </c>
      <c r="AC41" s="72">
        <f t="shared" si="34"/>
        <v>0</v>
      </c>
      <c r="AD41" s="72">
        <f t="shared" si="34"/>
        <v>350837</v>
      </c>
      <c r="AE41" s="72">
        <f t="shared" si="34"/>
        <v>350837</v>
      </c>
      <c r="AF41" s="72">
        <f t="shared" si="34"/>
        <v>0</v>
      </c>
      <c r="AG41" s="72">
        <f t="shared" si="34"/>
        <v>0</v>
      </c>
      <c r="AH41" s="72">
        <f t="shared" si="34"/>
        <v>0</v>
      </c>
      <c r="AI41" s="72">
        <f t="shared" ca="1" si="34"/>
        <v>261622856</v>
      </c>
      <c r="AJ41" s="72">
        <f t="shared" ref="AJ41:AN41" ca="1" si="35">AJ26+AJ30+AJ34+AJ37</f>
        <v>794723837</v>
      </c>
      <c r="AK41" s="72">
        <f t="shared" ca="1" si="35"/>
        <v>794723837</v>
      </c>
      <c r="AL41" s="72">
        <f t="shared" ca="1" si="35"/>
        <v>355223281</v>
      </c>
      <c r="AM41" s="72">
        <f t="shared" ca="1" si="35"/>
        <v>372354305</v>
      </c>
      <c r="AN41" s="72">
        <f t="shared" ca="1" si="35"/>
        <v>167590187</v>
      </c>
      <c r="AO41" s="72">
        <f ca="1">AO26+AO30+AO34+AO37</f>
        <v>3531737486</v>
      </c>
      <c r="AP41" s="72">
        <f ca="1">AP26+AP30+AP34+AP37</f>
        <v>2058050687</v>
      </c>
      <c r="AQ41" s="72">
        <f ca="1">AQ26+AQ30+AQ34+AQ37</f>
        <v>1449137414</v>
      </c>
    </row>
    <row r="42" spans="1:45" s="29" customFormat="1" x14ac:dyDescent="0.25">
      <c r="A42" s="67"/>
      <c r="B42" s="1"/>
      <c r="C42" s="23"/>
      <c r="D42" s="23" t="s">
        <v>85</v>
      </c>
      <c r="E42" s="72">
        <f>E28+E31+E35+E38</f>
        <v>121646993</v>
      </c>
      <c r="F42" s="72">
        <f t="shared" ref="F42:AO42" si="36">F28+F31+F35+F38</f>
        <v>121798046</v>
      </c>
      <c r="G42" s="72">
        <f t="shared" si="36"/>
        <v>57064704</v>
      </c>
      <c r="H42" s="72">
        <f t="shared" si="36"/>
        <v>0</v>
      </c>
      <c r="I42" s="72">
        <f t="shared" si="36"/>
        <v>0</v>
      </c>
      <c r="J42" s="72">
        <f t="shared" si="36"/>
        <v>0</v>
      </c>
      <c r="K42" s="72">
        <f t="shared" si="36"/>
        <v>0</v>
      </c>
      <c r="L42" s="72">
        <f t="shared" si="36"/>
        <v>0</v>
      </c>
      <c r="M42" s="72">
        <f t="shared" si="36"/>
        <v>0</v>
      </c>
      <c r="N42" s="72">
        <f t="shared" si="36"/>
        <v>0</v>
      </c>
      <c r="O42" s="72">
        <f t="shared" si="36"/>
        <v>0</v>
      </c>
      <c r="P42" s="72">
        <f t="shared" si="36"/>
        <v>0</v>
      </c>
      <c r="Q42" s="72">
        <f t="shared" si="36"/>
        <v>86220169</v>
      </c>
      <c r="R42" s="72">
        <f t="shared" si="36"/>
        <v>86220169</v>
      </c>
      <c r="S42" s="72">
        <f t="shared" si="36"/>
        <v>36786485</v>
      </c>
      <c r="T42" s="72">
        <f t="shared" si="36"/>
        <v>2082429878</v>
      </c>
      <c r="U42" s="72">
        <f t="shared" si="36"/>
        <v>2082429878</v>
      </c>
      <c r="V42" s="72">
        <f t="shared" si="36"/>
        <v>0</v>
      </c>
      <c r="W42" s="72">
        <f t="shared" si="36"/>
        <v>1887000</v>
      </c>
      <c r="X42" s="72">
        <f t="shared" si="36"/>
        <v>1887000</v>
      </c>
      <c r="Y42" s="72">
        <f t="shared" si="36"/>
        <v>6000</v>
      </c>
      <c r="Z42" s="72"/>
      <c r="AA42" s="72"/>
      <c r="AB42" s="72">
        <f>AB28+AB31+AB35+AB38</f>
        <v>826771</v>
      </c>
      <c r="AC42" s="72">
        <f t="shared" si="36"/>
        <v>0</v>
      </c>
      <c r="AD42" s="72">
        <f t="shared" si="36"/>
        <v>0</v>
      </c>
      <c r="AE42" s="72">
        <f t="shared" si="36"/>
        <v>0</v>
      </c>
      <c r="AF42" s="72">
        <f t="shared" si="36"/>
        <v>0</v>
      </c>
      <c r="AG42" s="72">
        <f t="shared" si="36"/>
        <v>3099000</v>
      </c>
      <c r="AH42" s="72">
        <f t="shared" si="36"/>
        <v>7494787</v>
      </c>
      <c r="AI42" s="72">
        <f t="shared" si="36"/>
        <v>3869634</v>
      </c>
      <c r="AJ42" s="72">
        <f>AJ28+AJ31+AJ35+AJ38</f>
        <v>3869634</v>
      </c>
      <c r="AK42" s="72">
        <f>AK28+AK31+AK35+AK38</f>
        <v>3869634</v>
      </c>
      <c r="AL42" s="72">
        <f t="shared" si="36"/>
        <v>207234208</v>
      </c>
      <c r="AM42" s="72">
        <f t="shared" si="36"/>
        <v>213807596</v>
      </c>
      <c r="AN42" s="72">
        <f t="shared" si="36"/>
        <v>108140079</v>
      </c>
      <c r="AO42" s="72">
        <f t="shared" si="36"/>
        <v>418971004</v>
      </c>
      <c r="AP42" s="72">
        <f>AP28+AP31+AP35+AP38</f>
        <v>2513111323</v>
      </c>
      <c r="AQ42" s="72">
        <f>AQ28+AQ31+AQ35+AQ38</f>
        <v>213377437</v>
      </c>
    </row>
    <row r="43" spans="1:45" x14ac:dyDescent="0.25">
      <c r="A43" s="67"/>
      <c r="B43" s="1"/>
      <c r="C43" s="23"/>
      <c r="D43" s="23" t="s">
        <v>118</v>
      </c>
      <c r="E43" s="72">
        <f>E32</f>
        <v>357187</v>
      </c>
      <c r="F43" s="72">
        <f>F32</f>
        <v>357187</v>
      </c>
      <c r="G43" s="72">
        <f>G32</f>
        <v>57150</v>
      </c>
      <c r="H43" s="72">
        <f t="shared" ref="H43:AN43" si="37">H27</f>
        <v>0</v>
      </c>
      <c r="I43" s="72">
        <f t="shared" si="37"/>
        <v>0</v>
      </c>
      <c r="J43" s="72">
        <f t="shared" si="37"/>
        <v>0</v>
      </c>
      <c r="K43" s="72">
        <f t="shared" si="37"/>
        <v>0</v>
      </c>
      <c r="L43" s="72">
        <f t="shared" si="37"/>
        <v>0</v>
      </c>
      <c r="M43" s="72">
        <f t="shared" si="37"/>
        <v>0</v>
      </c>
      <c r="N43" s="72">
        <f t="shared" si="37"/>
        <v>0</v>
      </c>
      <c r="O43" s="72">
        <f t="shared" si="37"/>
        <v>0</v>
      </c>
      <c r="P43" s="72">
        <f t="shared" si="37"/>
        <v>0</v>
      </c>
      <c r="Q43" s="72">
        <f t="shared" si="37"/>
        <v>0</v>
      </c>
      <c r="R43" s="72">
        <f t="shared" si="37"/>
        <v>0</v>
      </c>
      <c r="S43" s="72">
        <f t="shared" si="37"/>
        <v>0</v>
      </c>
      <c r="T43" s="72">
        <f t="shared" si="37"/>
        <v>0</v>
      </c>
      <c r="U43" s="72">
        <f t="shared" si="37"/>
        <v>0</v>
      </c>
      <c r="V43" s="72"/>
      <c r="W43" s="72">
        <f t="shared" si="37"/>
        <v>0</v>
      </c>
      <c r="X43" s="72">
        <f t="shared" si="37"/>
        <v>0</v>
      </c>
      <c r="Y43" s="72">
        <f>Y27</f>
        <v>0</v>
      </c>
      <c r="Z43" s="72"/>
      <c r="AA43" s="72"/>
      <c r="AB43" s="72">
        <f>AB32</f>
        <v>0</v>
      </c>
      <c r="AC43" s="72">
        <f t="shared" si="37"/>
        <v>0</v>
      </c>
      <c r="AD43" s="72">
        <f t="shared" si="37"/>
        <v>0</v>
      </c>
      <c r="AE43" s="72">
        <f t="shared" si="37"/>
        <v>0</v>
      </c>
      <c r="AF43" s="72">
        <f t="shared" si="37"/>
        <v>0</v>
      </c>
      <c r="AG43" s="72">
        <f t="shared" si="37"/>
        <v>0</v>
      </c>
      <c r="AH43" s="72">
        <f t="shared" si="37"/>
        <v>0</v>
      </c>
      <c r="AI43" s="72">
        <f>AI27</f>
        <v>0</v>
      </c>
      <c r="AJ43" s="72">
        <f t="shared" si="37"/>
        <v>0</v>
      </c>
      <c r="AK43" s="72">
        <f t="shared" si="37"/>
        <v>0</v>
      </c>
      <c r="AL43" s="72">
        <f t="shared" si="37"/>
        <v>0</v>
      </c>
      <c r="AM43" s="72">
        <f t="shared" si="37"/>
        <v>0</v>
      </c>
      <c r="AN43" s="72">
        <f t="shared" si="37"/>
        <v>0</v>
      </c>
      <c r="AO43" s="72">
        <f>AO27+AO32</f>
        <v>357187</v>
      </c>
      <c r="AP43" s="72">
        <f>AP27</f>
        <v>0</v>
      </c>
      <c r="AQ43" s="72">
        <f>AQ27</f>
        <v>0</v>
      </c>
    </row>
    <row r="44" spans="1:45" x14ac:dyDescent="0.25">
      <c r="A44" s="67"/>
      <c r="B44" s="1"/>
      <c r="C44" s="31"/>
      <c r="D44" s="31" t="s">
        <v>86</v>
      </c>
      <c r="E44" s="75">
        <f ca="1">SUM(E41:E43)</f>
        <v>163529762</v>
      </c>
      <c r="F44" s="75">
        <f ca="1">SUM(F41:F43)</f>
        <v>167122920</v>
      </c>
      <c r="G44" s="75">
        <f ca="1">SUM(G41:G43)</f>
        <v>86294590</v>
      </c>
      <c r="H44" s="75">
        <f t="shared" ref="H44:AO44" si="38">SUM(H41:H43)</f>
        <v>135717500</v>
      </c>
      <c r="I44" s="75">
        <f t="shared" si="38"/>
        <v>135717500</v>
      </c>
      <c r="J44" s="75">
        <f t="shared" si="38"/>
        <v>74431900</v>
      </c>
      <c r="K44" s="75">
        <f t="shared" si="38"/>
        <v>635095589</v>
      </c>
      <c r="L44" s="75">
        <f t="shared" si="38"/>
        <v>691700721</v>
      </c>
      <c r="M44" s="75">
        <f t="shared" si="38"/>
        <v>369816327</v>
      </c>
      <c r="N44" s="75">
        <f t="shared" si="38"/>
        <v>0</v>
      </c>
      <c r="O44" s="75">
        <f t="shared" si="38"/>
        <v>0</v>
      </c>
      <c r="P44" s="75">
        <f t="shared" si="38"/>
        <v>0</v>
      </c>
      <c r="Q44" s="75">
        <f t="shared" si="38"/>
        <v>95455969</v>
      </c>
      <c r="R44" s="75">
        <f t="shared" si="38"/>
        <v>95455969</v>
      </c>
      <c r="S44" s="75">
        <f t="shared" si="38"/>
        <v>45894485</v>
      </c>
      <c r="T44" s="75">
        <f t="shared" si="38"/>
        <v>2082429878</v>
      </c>
      <c r="U44" s="75">
        <f t="shared" si="38"/>
        <v>2082429878</v>
      </c>
      <c r="V44" s="75">
        <f t="shared" si="38"/>
        <v>0</v>
      </c>
      <c r="W44" s="75">
        <f t="shared" si="38"/>
        <v>10887000</v>
      </c>
      <c r="X44" s="75">
        <f t="shared" si="38"/>
        <v>10887000</v>
      </c>
      <c r="Y44" s="75">
        <f t="shared" si="38"/>
        <v>3949590</v>
      </c>
      <c r="Z44" s="75"/>
      <c r="AA44" s="75"/>
      <c r="AB44" s="75">
        <f>SUM(AB41:AB43)</f>
        <v>826771</v>
      </c>
      <c r="AC44" s="75">
        <f t="shared" si="38"/>
        <v>0</v>
      </c>
      <c r="AD44" s="75">
        <f t="shared" si="38"/>
        <v>350837</v>
      </c>
      <c r="AE44" s="75">
        <f t="shared" si="38"/>
        <v>350837</v>
      </c>
      <c r="AF44" s="75">
        <f t="shared" si="38"/>
        <v>0</v>
      </c>
      <c r="AG44" s="75">
        <f t="shared" si="38"/>
        <v>3099000</v>
      </c>
      <c r="AH44" s="75">
        <f t="shared" si="38"/>
        <v>7494787</v>
      </c>
      <c r="AI44" s="75">
        <f t="shared" ca="1" si="38"/>
        <v>265492490</v>
      </c>
      <c r="AJ44" s="75">
        <f t="shared" ca="1" si="38"/>
        <v>798593471</v>
      </c>
      <c r="AK44" s="75">
        <f t="shared" ca="1" si="38"/>
        <v>798593471</v>
      </c>
      <c r="AL44" s="75">
        <f t="shared" ca="1" si="38"/>
        <v>562457489</v>
      </c>
      <c r="AM44" s="75">
        <f t="shared" ca="1" si="38"/>
        <v>586161901</v>
      </c>
      <c r="AN44" s="75">
        <f t="shared" ca="1" si="38"/>
        <v>275730266</v>
      </c>
      <c r="AO44" s="75">
        <f t="shared" ca="1" si="38"/>
        <v>3951065677</v>
      </c>
      <c r="AP44" s="75">
        <f ca="1">F44+I44+L44+R44+U44+X44+AD44+AG44+AJ44+AM44</f>
        <v>4571519197</v>
      </c>
      <c r="AQ44" s="75">
        <f ca="1">G44+J44+M44+S44+V44+Y44+AE44+AH44+AK44+AN44+AB44</f>
        <v>1663383024</v>
      </c>
    </row>
    <row r="45" spans="1:45" x14ac:dyDescent="0.25">
      <c r="AR45" s="126"/>
    </row>
    <row r="46" spans="1:45" x14ac:dyDescent="0.25">
      <c r="E46" s="115"/>
      <c r="H46" s="126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22"/>
      <c r="AM46" s="115"/>
      <c r="AN46" s="115"/>
      <c r="AO46" s="115"/>
      <c r="AP46" s="115"/>
      <c r="AQ46" s="115"/>
    </row>
    <row r="47" spans="1:45" x14ac:dyDescent="0.25">
      <c r="E47" s="115"/>
      <c r="H47" s="125"/>
      <c r="AI47" s="357"/>
      <c r="AL47" s="124"/>
      <c r="AO47" s="115"/>
      <c r="AR47" s="115"/>
    </row>
    <row r="48" spans="1:45" x14ac:dyDescent="0.25">
      <c r="E48" s="115"/>
      <c r="AN48" s="115">
        <f>588708450+798593471+350837</f>
        <v>1387652758</v>
      </c>
      <c r="AO48" s="115">
        <f>1074674574+588708450</f>
        <v>1663383024</v>
      </c>
      <c r="AP48" s="115"/>
      <c r="AQ48" s="115"/>
      <c r="AR48" s="115"/>
    </row>
    <row r="50" spans="40:40" x14ac:dyDescent="0.25">
      <c r="AN50" s="115"/>
    </row>
  </sheetData>
  <mergeCells count="27">
    <mergeCell ref="E5:G5"/>
    <mergeCell ref="AL4:AN4"/>
    <mergeCell ref="E4:G4"/>
    <mergeCell ref="H4:J4"/>
    <mergeCell ref="D3:AQ3"/>
    <mergeCell ref="AL5:AN5"/>
    <mergeCell ref="K5:M5"/>
    <mergeCell ref="AO4:AQ4"/>
    <mergeCell ref="AO5:AQ5"/>
    <mergeCell ref="AF4:AH4"/>
    <mergeCell ref="AF5:AH5"/>
    <mergeCell ref="AI4:AK4"/>
    <mergeCell ref="AI5:AK5"/>
    <mergeCell ref="N4:P4"/>
    <mergeCell ref="N5:P5"/>
    <mergeCell ref="Q4:S4"/>
    <mergeCell ref="H5:J5"/>
    <mergeCell ref="K4:M4"/>
    <mergeCell ref="W5:Y5"/>
    <mergeCell ref="AC5:AE5"/>
    <mergeCell ref="W4:Y4"/>
    <mergeCell ref="AC4:AE4"/>
    <mergeCell ref="Q5:S5"/>
    <mergeCell ref="T4:V4"/>
    <mergeCell ref="T5:V5"/>
    <mergeCell ref="Z4:AB4"/>
    <mergeCell ref="Z5:AB5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1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F16"/>
  <sheetViews>
    <sheetView zoomScaleNormal="100" zoomScaleSheetLayoutView="100" workbookViewId="0">
      <pane xSplit="3" ySplit="4" topLeftCell="I5" activePane="bottomRight" state="frozen"/>
      <selection pane="topRight" activeCell="D1" sqref="D1"/>
      <selection pane="bottomLeft" activeCell="A4" sqref="A4"/>
      <selection pane="bottomRight" activeCell="AF8" sqref="AF8"/>
    </sheetView>
  </sheetViews>
  <sheetFormatPr defaultColWidth="9.28515625" defaultRowHeight="15" x14ac:dyDescent="0.25"/>
  <cols>
    <col min="1" max="1" width="6.28515625" style="43" customWidth="1"/>
    <col min="2" max="2" width="13.140625" style="43" customWidth="1"/>
    <col min="3" max="3" width="31.28515625" style="43" bestFit="1" customWidth="1"/>
    <col min="4" max="4" width="12.7109375" style="43" customWidth="1"/>
    <col min="5" max="5" width="9.5703125" style="43" bestFit="1" customWidth="1"/>
    <col min="6" max="6" width="9.5703125" style="43" customWidth="1"/>
    <col min="7" max="7" width="10.5703125" style="43" bestFit="1" customWidth="1"/>
    <col min="8" max="8" width="7.85546875" style="43" bestFit="1" customWidth="1"/>
    <col min="9" max="9" width="7.85546875" style="43" customWidth="1"/>
    <col min="10" max="10" width="10.5703125" style="43" bestFit="1" customWidth="1"/>
    <col min="11" max="11" width="7.85546875" style="43" bestFit="1" customWidth="1"/>
    <col min="12" max="12" width="7.85546875" style="43" customWidth="1"/>
    <col min="13" max="13" width="10.5703125" style="43" bestFit="1" customWidth="1"/>
    <col min="14" max="14" width="7.85546875" style="43" bestFit="1" customWidth="1"/>
    <col min="15" max="15" width="7.85546875" style="43" customWidth="1"/>
    <col min="16" max="16" width="9.5703125" style="43" bestFit="1" customWidth="1"/>
    <col min="17" max="17" width="7.85546875" style="43" bestFit="1" customWidth="1"/>
    <col min="18" max="18" width="7.85546875" style="43" customWidth="1"/>
    <col min="19" max="19" width="10.5703125" style="43" customWidth="1"/>
    <col min="20" max="20" width="7.85546875" style="43" bestFit="1" customWidth="1"/>
    <col min="21" max="21" width="7.85546875" style="43" customWidth="1"/>
    <col min="22" max="22" width="10.85546875" style="43" bestFit="1" customWidth="1"/>
    <col min="23" max="24" width="11.5703125" style="43" customWidth="1"/>
    <col min="25" max="25" width="10.5703125" style="43" bestFit="1" customWidth="1"/>
    <col min="26" max="26" width="8.85546875" style="43" bestFit="1" customWidth="1"/>
    <col min="27" max="27" width="8.85546875" style="43" customWidth="1"/>
    <col min="28" max="28" width="12.5703125" style="43" customWidth="1"/>
    <col min="29" max="30" width="0" style="43" hidden="1" customWidth="1"/>
    <col min="31" max="31" width="11.28515625" style="43" bestFit="1" customWidth="1"/>
    <col min="32" max="32" width="12.5703125" style="43" customWidth="1"/>
    <col min="33" max="16384" width="9.28515625" style="43"/>
  </cols>
  <sheetData>
    <row r="1" spans="1:32" x14ac:dyDescent="0.25">
      <c r="A1" s="467" t="s">
        <v>383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</row>
    <row r="2" spans="1:32" ht="74.25" customHeight="1" x14ac:dyDescent="0.25">
      <c r="A2" s="60"/>
      <c r="B2" s="60"/>
      <c r="C2" s="468" t="s">
        <v>384</v>
      </c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</row>
    <row r="3" spans="1:32" ht="43.5" customHeight="1" x14ac:dyDescent="0.25">
      <c r="A3" s="56" t="s">
        <v>52</v>
      </c>
      <c r="B3" s="56" t="s">
        <v>60</v>
      </c>
      <c r="C3" s="99" t="s">
        <v>53</v>
      </c>
      <c r="D3" s="461" t="s">
        <v>54</v>
      </c>
      <c r="E3" s="462"/>
      <c r="F3" s="463"/>
      <c r="G3" s="461" t="s">
        <v>55</v>
      </c>
      <c r="H3" s="462"/>
      <c r="I3" s="463"/>
      <c r="J3" s="461" t="s">
        <v>62</v>
      </c>
      <c r="K3" s="462"/>
      <c r="L3" s="463"/>
      <c r="M3" s="461" t="s">
        <v>64</v>
      </c>
      <c r="N3" s="462"/>
      <c r="O3" s="463"/>
      <c r="P3" s="461" t="s">
        <v>65</v>
      </c>
      <c r="Q3" s="462"/>
      <c r="R3" s="463"/>
      <c r="S3" s="461" t="s">
        <v>66</v>
      </c>
      <c r="T3" s="462"/>
      <c r="U3" s="463"/>
      <c r="V3" s="461" t="s">
        <v>67</v>
      </c>
      <c r="W3" s="462"/>
      <c r="X3" s="463"/>
      <c r="Y3" s="461" t="s">
        <v>99</v>
      </c>
      <c r="Z3" s="462"/>
      <c r="AA3" s="463"/>
      <c r="AB3" s="461" t="s">
        <v>93</v>
      </c>
      <c r="AC3" s="462"/>
      <c r="AD3" s="462"/>
      <c r="AE3" s="462"/>
      <c r="AF3" s="463"/>
    </row>
    <row r="4" spans="1:32" ht="81.75" customHeight="1" x14ac:dyDescent="0.25">
      <c r="A4" s="98" t="s">
        <v>1</v>
      </c>
      <c r="B4" s="45" t="s">
        <v>68</v>
      </c>
      <c r="C4" s="46" t="s">
        <v>69</v>
      </c>
      <c r="D4" s="464" t="s">
        <v>58</v>
      </c>
      <c r="E4" s="465"/>
      <c r="F4" s="466"/>
      <c r="G4" s="464" t="s">
        <v>57</v>
      </c>
      <c r="H4" s="465"/>
      <c r="I4" s="466"/>
      <c r="J4" s="464" t="s">
        <v>71</v>
      </c>
      <c r="K4" s="465"/>
      <c r="L4" s="466"/>
      <c r="M4" s="464" t="s">
        <v>72</v>
      </c>
      <c r="N4" s="465"/>
      <c r="O4" s="466"/>
      <c r="P4" s="464" t="s">
        <v>73</v>
      </c>
      <c r="Q4" s="465"/>
      <c r="R4" s="466"/>
      <c r="S4" s="464" t="s">
        <v>87</v>
      </c>
      <c r="T4" s="465"/>
      <c r="U4" s="466"/>
      <c r="V4" s="464" t="s">
        <v>88</v>
      </c>
      <c r="W4" s="465"/>
      <c r="X4" s="466"/>
      <c r="Y4" s="464" t="s">
        <v>117</v>
      </c>
      <c r="Z4" s="465"/>
      <c r="AA4" s="466"/>
      <c r="AB4" s="464" t="s">
        <v>75</v>
      </c>
      <c r="AC4" s="465"/>
      <c r="AD4" s="465"/>
      <c r="AE4" s="465"/>
      <c r="AF4" s="466"/>
    </row>
    <row r="5" spans="1:32" ht="57" x14ac:dyDescent="0.25">
      <c r="A5" s="98" t="s">
        <v>3</v>
      </c>
      <c r="B5" s="44"/>
      <c r="C5" s="47" t="s">
        <v>89</v>
      </c>
      <c r="D5" s="48" t="s">
        <v>385</v>
      </c>
      <c r="E5" s="14" t="s">
        <v>382</v>
      </c>
      <c r="F5" s="14" t="s">
        <v>416</v>
      </c>
      <c r="G5" s="48" t="s">
        <v>385</v>
      </c>
      <c r="H5" s="14" t="s">
        <v>382</v>
      </c>
      <c r="I5" s="14" t="s">
        <v>416</v>
      </c>
      <c r="J5" s="48" t="s">
        <v>385</v>
      </c>
      <c r="K5" s="14" t="s">
        <v>382</v>
      </c>
      <c r="L5" s="14" t="s">
        <v>416</v>
      </c>
      <c r="M5" s="48" t="s">
        <v>385</v>
      </c>
      <c r="N5" s="14" t="s">
        <v>382</v>
      </c>
      <c r="O5" s="14" t="s">
        <v>416</v>
      </c>
      <c r="P5" s="48" t="s">
        <v>385</v>
      </c>
      <c r="Q5" s="14" t="s">
        <v>382</v>
      </c>
      <c r="R5" s="14" t="s">
        <v>416</v>
      </c>
      <c r="S5" s="48" t="s">
        <v>385</v>
      </c>
      <c r="T5" s="14" t="s">
        <v>382</v>
      </c>
      <c r="U5" s="14" t="s">
        <v>416</v>
      </c>
      <c r="V5" s="48" t="s">
        <v>385</v>
      </c>
      <c r="W5" s="14" t="s">
        <v>382</v>
      </c>
      <c r="X5" s="14" t="s">
        <v>416</v>
      </c>
      <c r="Y5" s="48" t="s">
        <v>385</v>
      </c>
      <c r="Z5" s="14" t="s">
        <v>382</v>
      </c>
      <c r="AA5" s="14" t="s">
        <v>416</v>
      </c>
      <c r="AB5" s="48" t="s">
        <v>385</v>
      </c>
      <c r="AC5" s="14" t="s">
        <v>128</v>
      </c>
      <c r="AD5" s="48" t="s">
        <v>129</v>
      </c>
      <c r="AE5" s="14" t="s">
        <v>382</v>
      </c>
      <c r="AF5" s="102" t="s">
        <v>416</v>
      </c>
    </row>
    <row r="6" spans="1:32" x14ac:dyDescent="0.25">
      <c r="A6" s="98" t="s">
        <v>4</v>
      </c>
      <c r="B6" s="44" t="s">
        <v>116</v>
      </c>
      <c r="C6" s="49" t="s">
        <v>112</v>
      </c>
      <c r="D6" s="78">
        <v>357187</v>
      </c>
      <c r="E6" s="78">
        <f>D6</f>
        <v>357187</v>
      </c>
      <c r="F6" s="78">
        <f>45000+12150</f>
        <v>57150</v>
      </c>
      <c r="G6" s="50"/>
      <c r="H6" s="50"/>
      <c r="I6" s="50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9">
        <v>15276859</v>
      </c>
      <c r="W6" s="79">
        <v>16615307</v>
      </c>
      <c r="X6" s="79">
        <v>7474661</v>
      </c>
      <c r="Y6" s="79"/>
      <c r="Z6" s="79"/>
      <c r="AA6" s="79"/>
      <c r="AB6" s="80">
        <f>D6+G6+J6+M6+P6+V6</f>
        <v>15634046</v>
      </c>
      <c r="AC6" s="80">
        <f>E6+H6+K6+N6+Q6+W6</f>
        <v>16972494</v>
      </c>
      <c r="AD6" s="80">
        <f>G6+J6+M6+P6+S6+Y6</f>
        <v>0</v>
      </c>
      <c r="AE6" s="80">
        <f t="shared" ref="AE6:AF8" si="0">E6+H6+K6+N6+Q6+T6+W6+Z6</f>
        <v>16972494</v>
      </c>
      <c r="AF6" s="80">
        <f t="shared" si="0"/>
        <v>7531811</v>
      </c>
    </row>
    <row r="7" spans="1:32" x14ac:dyDescent="0.25">
      <c r="A7" s="98" t="s">
        <v>6</v>
      </c>
      <c r="B7" s="44" t="s">
        <v>76</v>
      </c>
      <c r="C7" s="49" t="s">
        <v>90</v>
      </c>
      <c r="D7" s="79"/>
      <c r="E7" s="79">
        <v>100000</v>
      </c>
      <c r="F7" s="79">
        <f>69838+587</f>
        <v>70425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>
        <v>106938013</v>
      </c>
      <c r="W7" s="100">
        <v>111748365</v>
      </c>
      <c r="X7" s="100">
        <v>52322626</v>
      </c>
      <c r="Y7" s="79">
        <v>3982336</v>
      </c>
      <c r="Z7" s="100">
        <f>Y7</f>
        <v>3982336</v>
      </c>
      <c r="AA7" s="100">
        <v>3982336</v>
      </c>
      <c r="AB7" s="80">
        <f>D7+G7+J7+M7+P7+V7+Y7</f>
        <v>110920349</v>
      </c>
      <c r="AC7" s="81">
        <v>218</v>
      </c>
      <c r="AD7" s="81">
        <f>1673+87</f>
        <v>1760</v>
      </c>
      <c r="AE7" s="130">
        <f t="shared" si="0"/>
        <v>115830701</v>
      </c>
      <c r="AF7" s="130">
        <f t="shared" si="0"/>
        <v>56375387</v>
      </c>
    </row>
    <row r="8" spans="1:32" ht="15.75" x14ac:dyDescent="0.25">
      <c r="A8" s="98" t="s">
        <v>8</v>
      </c>
      <c r="B8" s="44"/>
      <c r="C8" s="47" t="s">
        <v>91</v>
      </c>
      <c r="D8" s="80">
        <f>SUM(D6:D7)</f>
        <v>357187</v>
      </c>
      <c r="E8" s="80">
        <f t="shared" ref="E8:AA8" si="1">SUM(E6:E7)</f>
        <v>457187</v>
      </c>
      <c r="F8" s="80">
        <f t="shared" si="1"/>
        <v>127575</v>
      </c>
      <c r="G8" s="80">
        <f t="shared" si="1"/>
        <v>0</v>
      </c>
      <c r="H8" s="80">
        <f t="shared" si="1"/>
        <v>0</v>
      </c>
      <c r="I8" s="80"/>
      <c r="J8" s="80">
        <f t="shared" si="1"/>
        <v>0</v>
      </c>
      <c r="K8" s="80">
        <f t="shared" si="1"/>
        <v>0</v>
      </c>
      <c r="L8" s="80"/>
      <c r="M8" s="80">
        <f t="shared" si="1"/>
        <v>0</v>
      </c>
      <c r="N8" s="80">
        <f t="shared" si="1"/>
        <v>0</v>
      </c>
      <c r="O8" s="80"/>
      <c r="P8" s="80">
        <f t="shared" si="1"/>
        <v>0</v>
      </c>
      <c r="Q8" s="80">
        <f t="shared" si="1"/>
        <v>0</v>
      </c>
      <c r="R8" s="80"/>
      <c r="S8" s="80">
        <f t="shared" si="1"/>
        <v>0</v>
      </c>
      <c r="T8" s="80">
        <f t="shared" si="1"/>
        <v>0</v>
      </c>
      <c r="U8" s="80"/>
      <c r="V8" s="130">
        <f t="shared" si="1"/>
        <v>122214872</v>
      </c>
      <c r="W8" s="130">
        <f t="shared" si="1"/>
        <v>128363672</v>
      </c>
      <c r="X8" s="130">
        <f t="shared" si="1"/>
        <v>59797287</v>
      </c>
      <c r="Y8" s="130">
        <f t="shared" si="1"/>
        <v>3982336</v>
      </c>
      <c r="Z8" s="130">
        <f t="shared" si="1"/>
        <v>3982336</v>
      </c>
      <c r="AA8" s="130">
        <f t="shared" si="1"/>
        <v>3982336</v>
      </c>
      <c r="AB8" s="130">
        <f>SUM(AB6:AB7)</f>
        <v>126554395</v>
      </c>
      <c r="AC8" s="130"/>
      <c r="AD8" s="130"/>
      <c r="AE8" s="130">
        <f t="shared" si="0"/>
        <v>132803195</v>
      </c>
      <c r="AF8" s="130">
        <f t="shared" si="0"/>
        <v>63907198</v>
      </c>
    </row>
    <row r="9" spans="1:32" x14ac:dyDescent="0.25">
      <c r="A9" s="98" t="s">
        <v>19</v>
      </c>
      <c r="B9" s="51"/>
      <c r="C9" s="51" t="s">
        <v>92</v>
      </c>
      <c r="D9" s="81">
        <f t="shared" ref="D9:AF9" si="2">SUMIF($B6:$B7,"kötelező",D6:D7)</f>
        <v>0</v>
      </c>
      <c r="E9" s="81">
        <f t="shared" si="2"/>
        <v>100000</v>
      </c>
      <c r="F9" s="81">
        <f t="shared" si="2"/>
        <v>70425</v>
      </c>
      <c r="G9" s="81">
        <f t="shared" si="2"/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2"/>
        <v>0</v>
      </c>
      <c r="T9" s="81">
        <f t="shared" si="2"/>
        <v>0</v>
      </c>
      <c r="U9" s="81">
        <f t="shared" si="2"/>
        <v>0</v>
      </c>
      <c r="V9" s="81">
        <f t="shared" si="2"/>
        <v>106938013</v>
      </c>
      <c r="W9" s="81">
        <f t="shared" si="2"/>
        <v>111748365</v>
      </c>
      <c r="X9" s="81">
        <f t="shared" si="2"/>
        <v>52322626</v>
      </c>
      <c r="Y9" s="81">
        <f t="shared" si="2"/>
        <v>3982336</v>
      </c>
      <c r="Z9" s="81">
        <f t="shared" si="2"/>
        <v>3982336</v>
      </c>
      <c r="AA9" s="81">
        <f t="shared" si="2"/>
        <v>3982336</v>
      </c>
      <c r="AB9" s="81">
        <f t="shared" si="2"/>
        <v>110920349</v>
      </c>
      <c r="AC9" s="81">
        <f t="shared" si="2"/>
        <v>218</v>
      </c>
      <c r="AD9" s="81">
        <f t="shared" si="2"/>
        <v>1760</v>
      </c>
      <c r="AE9" s="81">
        <f t="shared" si="2"/>
        <v>115830701</v>
      </c>
      <c r="AF9" s="81">
        <f t="shared" si="2"/>
        <v>56375387</v>
      </c>
    </row>
    <row r="10" spans="1:32" x14ac:dyDescent="0.25">
      <c r="A10" s="98" t="s">
        <v>21</v>
      </c>
      <c r="B10" s="51"/>
      <c r="C10" s="51" t="s">
        <v>115</v>
      </c>
      <c r="D10" s="81">
        <f t="shared" ref="D10:AF10" si="3">SUMIF($B6:$B7,"államigazgatási",D6:D7)</f>
        <v>357187</v>
      </c>
      <c r="E10" s="81">
        <f t="shared" si="3"/>
        <v>357187</v>
      </c>
      <c r="F10" s="81">
        <f t="shared" si="3"/>
        <v>57150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si="3"/>
        <v>0</v>
      </c>
      <c r="K10" s="81">
        <f t="shared" si="3"/>
        <v>0</v>
      </c>
      <c r="L10" s="81">
        <f t="shared" si="3"/>
        <v>0</v>
      </c>
      <c r="M10" s="81">
        <f t="shared" si="3"/>
        <v>0</v>
      </c>
      <c r="N10" s="81">
        <f t="shared" si="3"/>
        <v>0</v>
      </c>
      <c r="O10" s="81">
        <f t="shared" si="3"/>
        <v>0</v>
      </c>
      <c r="P10" s="81">
        <f t="shared" si="3"/>
        <v>0</v>
      </c>
      <c r="Q10" s="81">
        <f t="shared" si="3"/>
        <v>0</v>
      </c>
      <c r="R10" s="81">
        <f t="shared" si="3"/>
        <v>0</v>
      </c>
      <c r="S10" s="81">
        <f t="shared" si="3"/>
        <v>0</v>
      </c>
      <c r="T10" s="81">
        <f t="shared" si="3"/>
        <v>0</v>
      </c>
      <c r="U10" s="81">
        <f t="shared" si="3"/>
        <v>0</v>
      </c>
      <c r="V10" s="81">
        <f t="shared" si="3"/>
        <v>15276859</v>
      </c>
      <c r="W10" s="81">
        <f t="shared" si="3"/>
        <v>16615307</v>
      </c>
      <c r="X10" s="81">
        <f t="shared" si="3"/>
        <v>7474661</v>
      </c>
      <c r="Y10" s="81">
        <f t="shared" si="3"/>
        <v>0</v>
      </c>
      <c r="Z10" s="81">
        <f t="shared" si="3"/>
        <v>0</v>
      </c>
      <c r="AA10" s="81">
        <f t="shared" si="3"/>
        <v>0</v>
      </c>
      <c r="AB10" s="81">
        <f t="shared" si="3"/>
        <v>15634046</v>
      </c>
      <c r="AC10" s="81">
        <f t="shared" si="3"/>
        <v>16972494</v>
      </c>
      <c r="AD10" s="81">
        <f t="shared" si="3"/>
        <v>0</v>
      </c>
      <c r="AE10" s="81">
        <f t="shared" si="3"/>
        <v>16972494</v>
      </c>
      <c r="AF10" s="81">
        <f t="shared" si="3"/>
        <v>7531811</v>
      </c>
    </row>
    <row r="13" spans="1:32" x14ac:dyDescent="0.25">
      <c r="V13" s="70"/>
      <c r="W13" s="70"/>
      <c r="X13" s="70">
        <v>59797287</v>
      </c>
    </row>
    <row r="14" spans="1:32" x14ac:dyDescent="0.25">
      <c r="X14" s="43">
        <f>59797287*12.5%</f>
        <v>7474660.875</v>
      </c>
    </row>
    <row r="16" spans="1:32" x14ac:dyDescent="0.25">
      <c r="X16" s="43">
        <f>59797287-7474661</f>
        <v>52322626</v>
      </c>
    </row>
  </sheetData>
  <mergeCells count="20">
    <mergeCell ref="M3:O3"/>
    <mergeCell ref="M4:O4"/>
    <mergeCell ref="P3:R3"/>
    <mergeCell ref="P4:R4"/>
    <mergeCell ref="S3:U3"/>
    <mergeCell ref="S4:U4"/>
    <mergeCell ref="V3:X3"/>
    <mergeCell ref="V4:X4"/>
    <mergeCell ref="A1:AB1"/>
    <mergeCell ref="C2:AE2"/>
    <mergeCell ref="Y3:AA3"/>
    <mergeCell ref="Y4:AA4"/>
    <mergeCell ref="AB3:AF3"/>
    <mergeCell ref="AB4:AF4"/>
    <mergeCell ref="D3:F3"/>
    <mergeCell ref="D4:F4"/>
    <mergeCell ref="G3:I3"/>
    <mergeCell ref="G4:I4"/>
    <mergeCell ref="J3:L3"/>
    <mergeCell ref="J4:L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H26"/>
  <sheetViews>
    <sheetView zoomScaleNormal="100" zoomScaleSheetLayoutView="100" workbookViewId="0">
      <pane xSplit="3" ySplit="7" topLeftCell="M8" activePane="bottomRight" state="frozen"/>
      <selection pane="topRight" activeCell="D1" sqref="D1"/>
      <selection pane="bottomLeft" activeCell="A5" sqref="A5"/>
      <selection pane="bottomRight" activeCell="AH18" sqref="AH18"/>
    </sheetView>
  </sheetViews>
  <sheetFormatPr defaultColWidth="9.28515625" defaultRowHeight="15" x14ac:dyDescent="0.25"/>
  <cols>
    <col min="1" max="1" width="5.28515625" style="52" customWidth="1"/>
    <col min="2" max="2" width="10" style="52" customWidth="1"/>
    <col min="3" max="3" width="36" style="52" customWidth="1"/>
    <col min="4" max="4" width="12.5703125" style="52" customWidth="1"/>
    <col min="5" max="6" width="12.7109375" style="52" customWidth="1"/>
    <col min="7" max="7" width="7.42578125" style="52" customWidth="1"/>
    <col min="8" max="9" width="6.85546875" style="52" customWidth="1"/>
    <col min="10" max="10" width="9.85546875" style="52" customWidth="1"/>
    <col min="11" max="12" width="10.7109375" style="52" customWidth="1"/>
    <col min="13" max="13" width="10.7109375" style="52" bestFit="1" customWidth="1"/>
    <col min="14" max="14" width="8.28515625" style="52" bestFit="1" customWidth="1"/>
    <col min="15" max="15" width="8.28515625" style="52" customWidth="1"/>
    <col min="16" max="16" width="10.7109375" style="52" bestFit="1" customWidth="1"/>
    <col min="17" max="18" width="10.140625" style="52" customWidth="1"/>
    <col min="19" max="19" width="10.5703125" style="52" bestFit="1" customWidth="1"/>
    <col min="20" max="20" width="8.28515625" style="52" bestFit="1" customWidth="1"/>
    <col min="21" max="24" width="8.28515625" style="52" customWidth="1"/>
    <col min="25" max="26" width="12.42578125" style="52" bestFit="1" customWidth="1"/>
    <col min="27" max="27" width="12.42578125" style="52" customWidth="1"/>
    <col min="28" max="28" width="10.5703125" style="52" bestFit="1" customWidth="1"/>
    <col min="29" max="30" width="10.5703125" style="52" customWidth="1"/>
    <col min="31" max="31" width="13.42578125" style="52" customWidth="1"/>
    <col min="32" max="32" width="0" style="53" hidden="1" customWidth="1"/>
    <col min="33" max="33" width="12.42578125" style="52" customWidth="1"/>
    <col min="34" max="34" width="11.140625" style="52" customWidth="1"/>
    <col min="35" max="16384" width="9.28515625" style="52"/>
  </cols>
  <sheetData>
    <row r="1" spans="1:34" s="317" customFormat="1" x14ac:dyDescent="0.25">
      <c r="A1" s="336"/>
    </row>
    <row r="2" spans="1:34" x14ac:dyDescent="0.25">
      <c r="A2" s="316"/>
      <c r="S2" s="43" t="s">
        <v>387</v>
      </c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4" ht="18.75" x14ac:dyDescent="0.25">
      <c r="A3" s="60"/>
      <c r="B3" s="60"/>
      <c r="C3" s="469" t="s">
        <v>386</v>
      </c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</row>
    <row r="4" spans="1:34" ht="18.75" x14ac:dyDescent="0.25">
      <c r="A4" s="60"/>
      <c r="B4" s="60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65" t="s">
        <v>364</v>
      </c>
      <c r="AF4" s="358"/>
      <c r="AG4" s="358"/>
    </row>
    <row r="5" spans="1:34" x14ac:dyDescent="0.25">
      <c r="A5" s="56" t="s">
        <v>52</v>
      </c>
      <c r="B5" s="56" t="s">
        <v>60</v>
      </c>
      <c r="C5" s="59" t="s">
        <v>53</v>
      </c>
      <c r="D5" s="470" t="s">
        <v>54</v>
      </c>
      <c r="E5" s="471"/>
      <c r="F5" s="472"/>
      <c r="G5" s="470" t="s">
        <v>55</v>
      </c>
      <c r="H5" s="471"/>
      <c r="I5" s="472"/>
      <c r="J5" s="470" t="s">
        <v>62</v>
      </c>
      <c r="K5" s="471"/>
      <c r="L5" s="472"/>
      <c r="M5" s="470" t="s">
        <v>64</v>
      </c>
      <c r="N5" s="471"/>
      <c r="O5" s="472"/>
      <c r="P5" s="470" t="s">
        <v>65</v>
      </c>
      <c r="Q5" s="471"/>
      <c r="R5" s="472"/>
      <c r="S5" s="470" t="s">
        <v>66</v>
      </c>
      <c r="T5" s="471"/>
      <c r="U5" s="472"/>
      <c r="V5" s="470" t="s">
        <v>67</v>
      </c>
      <c r="W5" s="471"/>
      <c r="X5" s="472"/>
      <c r="Y5" s="470" t="s">
        <v>99</v>
      </c>
      <c r="Z5" s="471"/>
      <c r="AA5" s="472"/>
      <c r="AB5" s="470" t="s">
        <v>93</v>
      </c>
      <c r="AC5" s="471"/>
      <c r="AD5" s="472"/>
      <c r="AE5" s="473" t="s">
        <v>180</v>
      </c>
      <c r="AF5" s="474"/>
      <c r="AG5" s="474"/>
      <c r="AH5" s="475"/>
    </row>
    <row r="6" spans="1:34" ht="57" customHeight="1" x14ac:dyDescent="0.25">
      <c r="A6" s="101"/>
      <c r="B6" s="102" t="s">
        <v>96</v>
      </c>
      <c r="C6" s="47" t="s">
        <v>69</v>
      </c>
      <c r="D6" s="464" t="s">
        <v>58</v>
      </c>
      <c r="E6" s="465"/>
      <c r="F6" s="466"/>
      <c r="G6" s="464" t="s">
        <v>57</v>
      </c>
      <c r="H6" s="465"/>
      <c r="I6" s="466"/>
      <c r="J6" s="464" t="s">
        <v>71</v>
      </c>
      <c r="K6" s="465"/>
      <c r="L6" s="466"/>
      <c r="M6" s="464" t="s">
        <v>72</v>
      </c>
      <c r="N6" s="465"/>
      <c r="O6" s="466"/>
      <c r="P6" s="464" t="s">
        <v>73</v>
      </c>
      <c r="Q6" s="465"/>
      <c r="R6" s="466"/>
      <c r="S6" s="464" t="s">
        <v>87</v>
      </c>
      <c r="T6" s="465"/>
      <c r="U6" s="466"/>
      <c r="V6" s="464" t="s">
        <v>20</v>
      </c>
      <c r="W6" s="465"/>
      <c r="X6" s="466"/>
      <c r="Y6" s="464" t="s">
        <v>88</v>
      </c>
      <c r="Z6" s="465"/>
      <c r="AA6" s="466"/>
      <c r="AB6" s="464" t="s">
        <v>117</v>
      </c>
      <c r="AC6" s="465"/>
      <c r="AD6" s="466"/>
      <c r="AE6" s="464" t="s">
        <v>75</v>
      </c>
      <c r="AF6" s="465"/>
      <c r="AG6" s="465"/>
      <c r="AH6" s="466"/>
    </row>
    <row r="7" spans="1:34" ht="63.75" customHeight="1" x14ac:dyDescent="0.25">
      <c r="A7" s="101"/>
      <c r="B7" s="54"/>
      <c r="C7" s="47" t="s">
        <v>315</v>
      </c>
      <c r="D7" s="48" t="s">
        <v>385</v>
      </c>
      <c r="E7" s="14" t="s">
        <v>382</v>
      </c>
      <c r="F7" s="14" t="s">
        <v>416</v>
      </c>
      <c r="G7" s="48" t="s">
        <v>385</v>
      </c>
      <c r="H7" s="14" t="s">
        <v>382</v>
      </c>
      <c r="I7" s="14" t="s">
        <v>416</v>
      </c>
      <c r="J7" s="48" t="s">
        <v>385</v>
      </c>
      <c r="K7" s="14" t="s">
        <v>382</v>
      </c>
      <c r="L7" s="14" t="s">
        <v>416</v>
      </c>
      <c r="M7" s="48" t="s">
        <v>385</v>
      </c>
      <c r="N7" s="14" t="s">
        <v>382</v>
      </c>
      <c r="O7" s="14" t="s">
        <v>416</v>
      </c>
      <c r="P7" s="48" t="s">
        <v>385</v>
      </c>
      <c r="Q7" s="14" t="s">
        <v>382</v>
      </c>
      <c r="R7" s="14" t="s">
        <v>416</v>
      </c>
      <c r="S7" s="48" t="s">
        <v>385</v>
      </c>
      <c r="T7" s="14" t="s">
        <v>382</v>
      </c>
      <c r="U7" s="14" t="s">
        <v>416</v>
      </c>
      <c r="V7" s="48" t="s">
        <v>385</v>
      </c>
      <c r="W7" s="14" t="s">
        <v>382</v>
      </c>
      <c r="X7" s="14" t="s">
        <v>416</v>
      </c>
      <c r="Y7" s="48" t="s">
        <v>385</v>
      </c>
      <c r="Z7" s="14" t="s">
        <v>382</v>
      </c>
      <c r="AA7" s="14" t="s">
        <v>416</v>
      </c>
      <c r="AB7" s="48" t="s">
        <v>385</v>
      </c>
      <c r="AC7" s="14" t="s">
        <v>382</v>
      </c>
      <c r="AD7" s="14" t="s">
        <v>416</v>
      </c>
      <c r="AE7" s="381" t="s">
        <v>385</v>
      </c>
      <c r="AF7" s="378" t="s">
        <v>342</v>
      </c>
      <c r="AG7" s="378" t="s">
        <v>382</v>
      </c>
      <c r="AH7" s="102" t="s">
        <v>416</v>
      </c>
    </row>
    <row r="8" spans="1:34" x14ac:dyDescent="0.25">
      <c r="A8" s="101">
        <v>1</v>
      </c>
      <c r="B8" s="321" t="s">
        <v>76</v>
      </c>
      <c r="C8" s="118" t="s">
        <v>404</v>
      </c>
      <c r="D8" s="120"/>
      <c r="E8" s="121"/>
      <c r="F8" s="121"/>
      <c r="G8" s="120"/>
      <c r="H8" s="121"/>
      <c r="I8" s="121"/>
      <c r="J8" s="120"/>
      <c r="K8" s="121"/>
      <c r="L8" s="121"/>
      <c r="M8" s="120"/>
      <c r="N8" s="121"/>
      <c r="O8" s="121"/>
      <c r="P8" s="120"/>
      <c r="Q8" s="121"/>
      <c r="R8" s="121"/>
      <c r="S8" s="120"/>
      <c r="T8" s="121"/>
      <c r="U8" s="121"/>
      <c r="V8" s="121"/>
      <c r="W8" s="121"/>
      <c r="X8" s="121"/>
      <c r="Y8" s="121">
        <v>36634845</v>
      </c>
      <c r="Z8" s="121">
        <v>37414972</v>
      </c>
      <c r="AA8" s="121">
        <v>19202905</v>
      </c>
      <c r="AB8" s="119"/>
      <c r="AC8" s="121"/>
      <c r="AD8" s="121"/>
      <c r="AE8" s="120">
        <f>D8+G8+J8+M8+P8+S8+Y8+AB8</f>
        <v>36634845</v>
      </c>
      <c r="AF8" s="15"/>
      <c r="AG8" s="121">
        <f>E8+H8+K8+N8+Q8+T8+Z8+AC8</f>
        <v>37414972</v>
      </c>
      <c r="AH8" s="121">
        <f>F8+I8+L8+O8+R8+U8+AA8+AD8+X8</f>
        <v>19202905</v>
      </c>
    </row>
    <row r="9" spans="1:34" ht="26.25" x14ac:dyDescent="0.25">
      <c r="A9" s="101">
        <v>1</v>
      </c>
      <c r="B9" s="321" t="s">
        <v>77</v>
      </c>
      <c r="C9" s="118" t="s">
        <v>404</v>
      </c>
      <c r="D9" s="120"/>
      <c r="E9" s="121"/>
      <c r="F9" s="121"/>
      <c r="G9" s="120"/>
      <c r="H9" s="121"/>
      <c r="I9" s="121"/>
      <c r="J9" s="120"/>
      <c r="K9" s="121"/>
      <c r="L9" s="121"/>
      <c r="M9" s="120"/>
      <c r="N9" s="121"/>
      <c r="O9" s="121"/>
      <c r="P9" s="120"/>
      <c r="Q9" s="121"/>
      <c r="R9" s="121"/>
      <c r="S9" s="120"/>
      <c r="T9" s="121"/>
      <c r="U9" s="121"/>
      <c r="V9" s="121"/>
      <c r="W9" s="121"/>
      <c r="X9" s="121"/>
      <c r="Y9" s="121">
        <v>191957349</v>
      </c>
      <c r="Z9" s="121">
        <v>197192289</v>
      </c>
      <c r="AA9" s="121">
        <v>100665418</v>
      </c>
      <c r="AB9" s="119"/>
      <c r="AC9" s="121"/>
      <c r="AD9" s="121"/>
      <c r="AE9" s="120">
        <f t="shared" ref="AE9:AE17" si="0">D9+G9+J9+M9+P9+S9+Y9+AB9</f>
        <v>191957349</v>
      </c>
      <c r="AF9" s="15"/>
      <c r="AG9" s="121">
        <f t="shared" ref="AG9:AG13" si="1">E9+H9+K9+N9+Q9+T9+Z9+AC9</f>
        <v>197192289</v>
      </c>
      <c r="AH9" s="121">
        <f t="shared" ref="AH9:AH17" si="2">F9+I9+L9+O9+R9+U9+AA9+AD9+X9</f>
        <v>100665418</v>
      </c>
    </row>
    <row r="10" spans="1:34" ht="26.25" x14ac:dyDescent="0.25">
      <c r="A10" s="101"/>
      <c r="B10" s="321" t="s">
        <v>77</v>
      </c>
      <c r="C10" s="118" t="s">
        <v>404</v>
      </c>
      <c r="D10" s="120"/>
      <c r="E10" s="121"/>
      <c r="F10" s="121"/>
      <c r="G10" s="120"/>
      <c r="H10" s="121"/>
      <c r="I10" s="121"/>
      <c r="J10" s="120"/>
      <c r="K10" s="121"/>
      <c r="L10" s="121"/>
      <c r="M10" s="120"/>
      <c r="N10" s="121"/>
      <c r="O10" s="121"/>
      <c r="P10" s="120"/>
      <c r="Q10" s="121"/>
      <c r="R10" s="121"/>
      <c r="S10" s="120"/>
      <c r="T10" s="121"/>
      <c r="U10" s="121"/>
      <c r="V10" s="121"/>
      <c r="W10" s="121"/>
      <c r="X10" s="121"/>
      <c r="Y10" s="121"/>
      <c r="Z10" s="121"/>
      <c r="AA10" s="121"/>
      <c r="AB10" s="119">
        <v>3869634</v>
      </c>
      <c r="AC10" s="121">
        <f>AB10</f>
        <v>3869634</v>
      </c>
      <c r="AD10" s="121">
        <v>3869634</v>
      </c>
      <c r="AE10" s="120">
        <f t="shared" si="0"/>
        <v>3869634</v>
      </c>
      <c r="AF10" s="15"/>
      <c r="AG10" s="121">
        <f t="shared" si="1"/>
        <v>3869634</v>
      </c>
      <c r="AH10" s="121">
        <f t="shared" si="2"/>
        <v>3869634</v>
      </c>
    </row>
    <row r="11" spans="1:34" x14ac:dyDescent="0.25">
      <c r="A11" s="101">
        <v>1</v>
      </c>
      <c r="B11" s="322" t="s">
        <v>77</v>
      </c>
      <c r="C11" s="49" t="s">
        <v>337</v>
      </c>
      <c r="D11" s="83">
        <v>47087035</v>
      </c>
      <c r="E11" s="83">
        <v>47168088</v>
      </c>
      <c r="F11" s="83">
        <v>23840826</v>
      </c>
      <c r="G11" s="83"/>
      <c r="H11" s="83"/>
      <c r="I11" s="83"/>
      <c r="J11" s="78"/>
      <c r="K11" s="78"/>
      <c r="L11" s="78"/>
      <c r="M11" s="78"/>
      <c r="N11" s="78"/>
      <c r="O11" s="78"/>
      <c r="P11" s="78"/>
      <c r="Q11" s="78">
        <v>2338000</v>
      </c>
      <c r="R11" s="78">
        <v>6072187</v>
      </c>
      <c r="S11" s="78"/>
      <c r="T11" s="78"/>
      <c r="U11" s="78"/>
      <c r="V11" s="78"/>
      <c r="W11" s="78"/>
      <c r="X11" s="78">
        <v>15748</v>
      </c>
      <c r="Y11" s="79"/>
      <c r="Z11" s="79"/>
      <c r="AA11" s="79"/>
      <c r="AB11" s="79"/>
      <c r="AC11" s="79"/>
      <c r="AD11" s="79"/>
      <c r="AE11" s="120">
        <f t="shared" si="0"/>
        <v>47087035</v>
      </c>
      <c r="AF11" s="80">
        <f t="shared" ref="AF11" si="3">E11+H11+K11+N11+Q11+T11+Z11</f>
        <v>49506088</v>
      </c>
      <c r="AG11" s="121">
        <f t="shared" si="1"/>
        <v>49506088</v>
      </c>
      <c r="AH11" s="121">
        <f t="shared" si="2"/>
        <v>29928761</v>
      </c>
    </row>
    <row r="12" spans="1:34" ht="25.5" x14ac:dyDescent="0.25">
      <c r="A12" s="101">
        <v>1</v>
      </c>
      <c r="B12" s="322" t="s">
        <v>77</v>
      </c>
      <c r="C12" s="342" t="s">
        <v>338</v>
      </c>
      <c r="D12" s="83">
        <v>43296463</v>
      </c>
      <c r="E12" s="83">
        <v>43296463</v>
      </c>
      <c r="F12" s="83">
        <v>21350245</v>
      </c>
      <c r="G12" s="83"/>
      <c r="H12" s="83"/>
      <c r="I12" s="83"/>
      <c r="J12" s="78"/>
      <c r="K12" s="78"/>
      <c r="L12" s="78"/>
      <c r="M12" s="78"/>
      <c r="N12" s="78"/>
      <c r="O12" s="78"/>
      <c r="P12" s="78"/>
      <c r="Q12" s="78">
        <v>761000</v>
      </c>
      <c r="R12" s="78">
        <v>1422600</v>
      </c>
      <c r="S12" s="78"/>
      <c r="T12" s="78"/>
      <c r="U12" s="78"/>
      <c r="V12" s="78"/>
      <c r="W12" s="78"/>
      <c r="X12" s="78"/>
      <c r="Y12" s="79"/>
      <c r="Z12" s="79"/>
      <c r="AA12" s="79"/>
      <c r="AB12" s="79"/>
      <c r="AC12" s="79"/>
      <c r="AD12" s="79"/>
      <c r="AE12" s="120">
        <f t="shared" si="0"/>
        <v>43296463</v>
      </c>
      <c r="AF12" s="80"/>
      <c r="AG12" s="121">
        <f t="shared" si="1"/>
        <v>44057463</v>
      </c>
      <c r="AH12" s="121">
        <f t="shared" si="2"/>
        <v>22772845</v>
      </c>
    </row>
    <row r="13" spans="1:34" x14ac:dyDescent="0.25">
      <c r="A13" s="101">
        <v>1</v>
      </c>
      <c r="B13" s="322" t="s">
        <v>76</v>
      </c>
      <c r="C13" s="49" t="s">
        <v>232</v>
      </c>
      <c r="D13" s="82">
        <v>22600</v>
      </c>
      <c r="E13" s="82">
        <f>D13</f>
        <v>22600</v>
      </c>
      <c r="F13" s="82">
        <v>38404</v>
      </c>
      <c r="G13" s="82"/>
      <c r="H13" s="82"/>
      <c r="I13" s="82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9"/>
      <c r="AA13" s="79"/>
      <c r="AB13" s="79"/>
      <c r="AC13" s="79"/>
      <c r="AD13" s="79"/>
      <c r="AE13" s="120">
        <f t="shared" si="0"/>
        <v>22600</v>
      </c>
      <c r="AF13" s="103">
        <v>4</v>
      </c>
      <c r="AG13" s="121">
        <f t="shared" si="1"/>
        <v>22600</v>
      </c>
      <c r="AH13" s="121">
        <f t="shared" si="2"/>
        <v>38404</v>
      </c>
    </row>
    <row r="14" spans="1:34" x14ac:dyDescent="0.25">
      <c r="A14" s="101">
        <v>1</v>
      </c>
      <c r="B14" s="322" t="s">
        <v>76</v>
      </c>
      <c r="C14" s="49" t="s">
        <v>339</v>
      </c>
      <c r="D14" s="82"/>
      <c r="E14" s="82"/>
      <c r="F14" s="82">
        <v>119155</v>
      </c>
      <c r="G14" s="82"/>
      <c r="H14" s="82"/>
      <c r="I14" s="82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9"/>
      <c r="Z14" s="79"/>
      <c r="AA14" s="79"/>
      <c r="AB14" s="79"/>
      <c r="AC14" s="79"/>
      <c r="AD14" s="79"/>
      <c r="AE14" s="120">
        <f t="shared" si="0"/>
        <v>0</v>
      </c>
      <c r="AF14" s="103"/>
      <c r="AG14" s="80">
        <f t="shared" ref="AG14:AG16" si="4">E14+H14+K14+N14+Q14+T14+Z14+AC14</f>
        <v>0</v>
      </c>
      <c r="AH14" s="121">
        <f t="shared" si="2"/>
        <v>119155</v>
      </c>
    </row>
    <row r="15" spans="1:34" x14ac:dyDescent="0.25">
      <c r="A15" s="101">
        <v>1</v>
      </c>
      <c r="B15" s="322" t="s">
        <v>76</v>
      </c>
      <c r="C15" s="49" t="s">
        <v>340</v>
      </c>
      <c r="D15" s="83">
        <v>12559975</v>
      </c>
      <c r="E15" s="83">
        <f>D15</f>
        <v>12559975</v>
      </c>
      <c r="F15" s="83">
        <v>8009466</v>
      </c>
      <c r="G15" s="82"/>
      <c r="H15" s="82"/>
      <c r="I15" s="82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79"/>
      <c r="AA15" s="79"/>
      <c r="AB15" s="79"/>
      <c r="AC15" s="79"/>
      <c r="AD15" s="79"/>
      <c r="AE15" s="120">
        <f t="shared" si="0"/>
        <v>12559975</v>
      </c>
      <c r="AF15" s="103">
        <v>10237</v>
      </c>
      <c r="AG15" s="80">
        <f t="shared" si="4"/>
        <v>12559975</v>
      </c>
      <c r="AH15" s="121">
        <f t="shared" si="2"/>
        <v>8009466</v>
      </c>
    </row>
    <row r="16" spans="1:34" x14ac:dyDescent="0.25">
      <c r="A16" s="101">
        <v>1</v>
      </c>
      <c r="B16" s="322" t="s">
        <v>76</v>
      </c>
      <c r="C16" s="49" t="s">
        <v>97</v>
      </c>
      <c r="D16" s="82">
        <v>79550</v>
      </c>
      <c r="E16" s="82">
        <f>D16</f>
        <v>79550</v>
      </c>
      <c r="F16" s="82">
        <v>213511</v>
      </c>
      <c r="G16" s="82"/>
      <c r="H16" s="82"/>
      <c r="I16" s="82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79"/>
      <c r="AA16" s="79"/>
      <c r="AB16" s="79"/>
      <c r="AC16" s="79"/>
      <c r="AD16" s="79"/>
      <c r="AE16" s="120">
        <f t="shared" si="0"/>
        <v>79550</v>
      </c>
      <c r="AF16" s="103"/>
      <c r="AG16" s="80">
        <f t="shared" si="4"/>
        <v>79550</v>
      </c>
      <c r="AH16" s="121">
        <f t="shared" si="2"/>
        <v>213511</v>
      </c>
    </row>
    <row r="17" spans="1:34" x14ac:dyDescent="0.25">
      <c r="A17" s="101">
        <v>1</v>
      </c>
      <c r="B17" s="322" t="s">
        <v>77</v>
      </c>
      <c r="C17" s="49" t="s">
        <v>418</v>
      </c>
      <c r="D17" s="82"/>
      <c r="E17" s="82"/>
      <c r="F17" s="82">
        <v>11584</v>
      </c>
      <c r="G17" s="82"/>
      <c r="H17" s="82"/>
      <c r="I17" s="82"/>
      <c r="J17" s="78">
        <v>1080983</v>
      </c>
      <c r="K17" s="78">
        <f>J17</f>
        <v>1080983</v>
      </c>
      <c r="L17" s="78">
        <v>688842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9"/>
      <c r="Z17" s="79"/>
      <c r="AA17" s="79"/>
      <c r="AB17" s="79"/>
      <c r="AC17" s="79"/>
      <c r="AD17" s="79"/>
      <c r="AE17" s="120">
        <f t="shared" si="0"/>
        <v>1080983</v>
      </c>
      <c r="AF17" s="103"/>
      <c r="AG17" s="80">
        <f>E17+H17+K17+N17+Q17+T17+Z17+AC17</f>
        <v>1080983</v>
      </c>
      <c r="AH17" s="121">
        <f t="shared" si="2"/>
        <v>700426</v>
      </c>
    </row>
    <row r="18" spans="1:34" ht="15.75" x14ac:dyDescent="0.25">
      <c r="A18" s="101">
        <v>1</v>
      </c>
      <c r="B18" s="44"/>
      <c r="C18" s="47" t="s">
        <v>91</v>
      </c>
      <c r="D18" s="80">
        <f>SUM(D8:D17)</f>
        <v>103045623</v>
      </c>
      <c r="E18" s="80">
        <f t="shared" ref="E18:AH18" si="5">SUM(E8:E17)</f>
        <v>103126676</v>
      </c>
      <c r="F18" s="80">
        <f t="shared" si="5"/>
        <v>53583191</v>
      </c>
      <c r="G18" s="80">
        <f t="shared" si="5"/>
        <v>0</v>
      </c>
      <c r="H18" s="80">
        <f t="shared" si="5"/>
        <v>0</v>
      </c>
      <c r="I18" s="80"/>
      <c r="J18" s="80">
        <f t="shared" si="5"/>
        <v>1080983</v>
      </c>
      <c r="K18" s="80">
        <f t="shared" si="5"/>
        <v>1080983</v>
      </c>
      <c r="L18" s="80">
        <f t="shared" si="5"/>
        <v>688842</v>
      </c>
      <c r="M18" s="80">
        <f t="shared" si="5"/>
        <v>0</v>
      </c>
      <c r="N18" s="80">
        <f t="shared" si="5"/>
        <v>0</v>
      </c>
      <c r="O18" s="80">
        <f t="shared" si="5"/>
        <v>0</v>
      </c>
      <c r="P18" s="80">
        <f t="shared" si="5"/>
        <v>0</v>
      </c>
      <c r="Q18" s="80">
        <f t="shared" si="5"/>
        <v>3099000</v>
      </c>
      <c r="R18" s="80">
        <f t="shared" si="5"/>
        <v>7494787</v>
      </c>
      <c r="S18" s="80">
        <f t="shared" si="5"/>
        <v>0</v>
      </c>
      <c r="T18" s="80">
        <f t="shared" si="5"/>
        <v>0</v>
      </c>
      <c r="U18" s="80">
        <f t="shared" si="5"/>
        <v>0</v>
      </c>
      <c r="V18" s="80">
        <f t="shared" si="5"/>
        <v>0</v>
      </c>
      <c r="W18" s="80">
        <f t="shared" si="5"/>
        <v>0</v>
      </c>
      <c r="X18" s="80">
        <f t="shared" si="5"/>
        <v>15748</v>
      </c>
      <c r="Y18" s="80">
        <f t="shared" si="5"/>
        <v>228592194</v>
      </c>
      <c r="Z18" s="80">
        <f t="shared" si="5"/>
        <v>234607261</v>
      </c>
      <c r="AA18" s="80">
        <f t="shared" si="5"/>
        <v>119868323</v>
      </c>
      <c r="AB18" s="80">
        <f t="shared" si="5"/>
        <v>3869634</v>
      </c>
      <c r="AC18" s="80">
        <f t="shared" si="5"/>
        <v>3869634</v>
      </c>
      <c r="AD18" s="80">
        <f t="shared" si="5"/>
        <v>3869634</v>
      </c>
      <c r="AE18" s="80">
        <f t="shared" si="5"/>
        <v>336588434</v>
      </c>
      <c r="AF18" s="80">
        <f t="shared" si="5"/>
        <v>49516329</v>
      </c>
      <c r="AG18" s="80">
        <f t="shared" si="5"/>
        <v>345783554</v>
      </c>
      <c r="AH18" s="80">
        <f t="shared" si="5"/>
        <v>185520525</v>
      </c>
    </row>
    <row r="19" spans="1:34" x14ac:dyDescent="0.25">
      <c r="A19" s="101">
        <v>1</v>
      </c>
      <c r="B19" s="55"/>
      <c r="C19" s="4" t="s">
        <v>81</v>
      </c>
      <c r="D19" s="81">
        <f ca="1">SUMIF($B8:$B17,"kötelező",D8:D16)</f>
        <v>12662125</v>
      </c>
      <c r="E19" s="81">
        <f t="shared" ref="E19:AH19" ca="1" si="6">SUMIF($B8:$B17,"kötelező",E8:E16)</f>
        <v>12662125</v>
      </c>
      <c r="F19" s="81">
        <f t="shared" ca="1" si="6"/>
        <v>8380536</v>
      </c>
      <c r="G19" s="81">
        <f t="shared" ca="1" si="6"/>
        <v>0</v>
      </c>
      <c r="H19" s="81">
        <f t="shared" ca="1" si="6"/>
        <v>0</v>
      </c>
      <c r="I19" s="81">
        <f t="shared" ca="1" si="6"/>
        <v>0</v>
      </c>
      <c r="J19" s="81">
        <f t="shared" ca="1" si="6"/>
        <v>0</v>
      </c>
      <c r="K19" s="81">
        <f t="shared" ca="1" si="6"/>
        <v>0</v>
      </c>
      <c r="L19" s="81">
        <f t="shared" ca="1" si="6"/>
        <v>0</v>
      </c>
      <c r="M19" s="81">
        <f t="shared" ca="1" si="6"/>
        <v>0</v>
      </c>
      <c r="N19" s="81">
        <f t="shared" ca="1" si="6"/>
        <v>0</v>
      </c>
      <c r="O19" s="81">
        <f t="shared" ca="1" si="6"/>
        <v>0</v>
      </c>
      <c r="P19" s="81">
        <f t="shared" ca="1" si="6"/>
        <v>0</v>
      </c>
      <c r="Q19" s="81">
        <f t="shared" ca="1" si="6"/>
        <v>0</v>
      </c>
      <c r="R19" s="81">
        <f t="shared" ca="1" si="6"/>
        <v>0</v>
      </c>
      <c r="S19" s="81">
        <f t="shared" ca="1" si="6"/>
        <v>0</v>
      </c>
      <c r="T19" s="81">
        <f t="shared" ca="1" si="6"/>
        <v>0</v>
      </c>
      <c r="U19" s="81">
        <f t="shared" ca="1" si="6"/>
        <v>0</v>
      </c>
      <c r="V19" s="81">
        <f t="shared" ca="1" si="6"/>
        <v>0</v>
      </c>
      <c r="W19" s="81">
        <f t="shared" ca="1" si="6"/>
        <v>0</v>
      </c>
      <c r="X19" s="81">
        <f t="shared" ca="1" si="6"/>
        <v>0</v>
      </c>
      <c r="Y19" s="81">
        <f t="shared" ca="1" si="6"/>
        <v>36634845</v>
      </c>
      <c r="Z19" s="81">
        <f t="shared" ca="1" si="6"/>
        <v>37414972</v>
      </c>
      <c r="AA19" s="81">
        <f t="shared" ca="1" si="6"/>
        <v>19202905</v>
      </c>
      <c r="AB19" s="81">
        <f t="shared" ca="1" si="6"/>
        <v>0</v>
      </c>
      <c r="AC19" s="81">
        <f t="shared" ca="1" si="6"/>
        <v>0</v>
      </c>
      <c r="AD19" s="81">
        <f t="shared" ca="1" si="6"/>
        <v>0</v>
      </c>
      <c r="AE19" s="81">
        <f t="shared" ca="1" si="6"/>
        <v>49296970</v>
      </c>
      <c r="AF19" s="81">
        <f t="shared" ca="1" si="6"/>
        <v>10241</v>
      </c>
      <c r="AG19" s="81">
        <f t="shared" ca="1" si="6"/>
        <v>50077097</v>
      </c>
      <c r="AH19" s="81">
        <f t="shared" ca="1" si="6"/>
        <v>27583441</v>
      </c>
    </row>
    <row r="20" spans="1:34" x14ac:dyDescent="0.25">
      <c r="A20" s="320">
        <v>10</v>
      </c>
      <c r="B20" s="55"/>
      <c r="C20" s="4" t="s">
        <v>82</v>
      </c>
      <c r="D20" s="81">
        <f>SUMIF($B8:$B17,"nem kötelező",D8:D17)</f>
        <v>90383498</v>
      </c>
      <c r="E20" s="81">
        <f t="shared" ref="E20:AH20" si="7">SUMIF($B8:$B17,"nem kötelező",E8:E17)</f>
        <v>90464551</v>
      </c>
      <c r="F20" s="81">
        <f t="shared" si="7"/>
        <v>45202655</v>
      </c>
      <c r="G20" s="81">
        <f t="shared" si="7"/>
        <v>0</v>
      </c>
      <c r="H20" s="81">
        <f t="shared" si="7"/>
        <v>0</v>
      </c>
      <c r="I20" s="81">
        <f t="shared" si="7"/>
        <v>0</v>
      </c>
      <c r="J20" s="81">
        <f t="shared" si="7"/>
        <v>1080983</v>
      </c>
      <c r="K20" s="81">
        <f t="shared" si="7"/>
        <v>1080983</v>
      </c>
      <c r="L20" s="81">
        <f t="shared" si="7"/>
        <v>688842</v>
      </c>
      <c r="M20" s="81">
        <f t="shared" si="7"/>
        <v>0</v>
      </c>
      <c r="N20" s="81">
        <f t="shared" si="7"/>
        <v>0</v>
      </c>
      <c r="O20" s="81">
        <f t="shared" si="7"/>
        <v>0</v>
      </c>
      <c r="P20" s="81">
        <f t="shared" si="7"/>
        <v>0</v>
      </c>
      <c r="Q20" s="81">
        <f t="shared" si="7"/>
        <v>3099000</v>
      </c>
      <c r="R20" s="81">
        <f t="shared" si="7"/>
        <v>7494787</v>
      </c>
      <c r="S20" s="81">
        <f t="shared" si="7"/>
        <v>0</v>
      </c>
      <c r="T20" s="81">
        <f t="shared" si="7"/>
        <v>0</v>
      </c>
      <c r="U20" s="81">
        <f t="shared" si="7"/>
        <v>0</v>
      </c>
      <c r="V20" s="81">
        <f t="shared" si="7"/>
        <v>0</v>
      </c>
      <c r="W20" s="81">
        <f t="shared" si="7"/>
        <v>0</v>
      </c>
      <c r="X20" s="81">
        <f t="shared" si="7"/>
        <v>15748</v>
      </c>
      <c r="Y20" s="81">
        <f t="shared" si="7"/>
        <v>191957349</v>
      </c>
      <c r="Z20" s="81">
        <f t="shared" si="7"/>
        <v>197192289</v>
      </c>
      <c r="AA20" s="81">
        <f t="shared" si="7"/>
        <v>100665418</v>
      </c>
      <c r="AB20" s="81">
        <f t="shared" si="7"/>
        <v>3869634</v>
      </c>
      <c r="AC20" s="81">
        <f t="shared" si="7"/>
        <v>3869634</v>
      </c>
      <c r="AD20" s="81">
        <f t="shared" si="7"/>
        <v>3869634</v>
      </c>
      <c r="AE20" s="81">
        <f t="shared" si="7"/>
        <v>287291464</v>
      </c>
      <c r="AF20" s="81">
        <f t="shared" si="7"/>
        <v>49506088</v>
      </c>
      <c r="AG20" s="81">
        <f t="shared" si="7"/>
        <v>295706457</v>
      </c>
      <c r="AH20" s="81">
        <f t="shared" si="7"/>
        <v>157937084</v>
      </c>
    </row>
    <row r="22" spans="1:34" x14ac:dyDescent="0.25">
      <c r="D22" s="53"/>
      <c r="Y22" s="53"/>
      <c r="Z22" s="53"/>
      <c r="AA22" s="53">
        <v>119868323</v>
      </c>
      <c r="AC22" s="53"/>
      <c r="AD22" s="53"/>
      <c r="AE22" s="53"/>
      <c r="AG22" s="53"/>
    </row>
    <row r="23" spans="1:34" x14ac:dyDescent="0.25">
      <c r="D23" s="53"/>
      <c r="Z23" s="53"/>
      <c r="AA23" s="53"/>
      <c r="AG23" s="53"/>
    </row>
    <row r="24" spans="1:34" x14ac:dyDescent="0.25">
      <c r="AA24" s="52">
        <f>AA22*16.02%</f>
        <v>19202905.344599999</v>
      </c>
      <c r="AE24" s="53"/>
    </row>
    <row r="25" spans="1:34" x14ac:dyDescent="0.25">
      <c r="Z25" s="53"/>
      <c r="AA25" s="53"/>
    </row>
    <row r="26" spans="1:34" x14ac:dyDescent="0.25">
      <c r="Z26" s="53"/>
      <c r="AA26" s="53">
        <f>AA22-19202905</f>
        <v>100665418</v>
      </c>
    </row>
  </sheetData>
  <mergeCells count="21">
    <mergeCell ref="S6:U6"/>
    <mergeCell ref="Y5:AA5"/>
    <mergeCell ref="Y6:AA6"/>
    <mergeCell ref="V5:X5"/>
    <mergeCell ref="V6:X6"/>
    <mergeCell ref="C3:AG3"/>
    <mergeCell ref="D5:F5"/>
    <mergeCell ref="D6:F6"/>
    <mergeCell ref="G5:I5"/>
    <mergeCell ref="AB5:AD5"/>
    <mergeCell ref="AB6:AD6"/>
    <mergeCell ref="AE5:AH5"/>
    <mergeCell ref="AE6:AH6"/>
    <mergeCell ref="G6:I6"/>
    <mergeCell ref="J5:L5"/>
    <mergeCell ref="J6:L6"/>
    <mergeCell ref="M5:O5"/>
    <mergeCell ref="M6:O6"/>
    <mergeCell ref="P5:R5"/>
    <mergeCell ref="P6:R6"/>
    <mergeCell ref="S5:U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D23"/>
  <sheetViews>
    <sheetView zoomScaleNormal="100" zoomScaleSheetLayoutView="100" workbookViewId="0">
      <pane xSplit="3" ySplit="4" topLeftCell="J5" activePane="bottomRight" state="frozen"/>
      <selection pane="topRight" activeCell="D1" sqref="D1"/>
      <selection pane="bottomLeft" activeCell="A4" sqref="A4"/>
      <selection pane="bottomRight" activeCell="W14" sqref="W14"/>
    </sheetView>
  </sheetViews>
  <sheetFormatPr defaultColWidth="9.28515625" defaultRowHeight="15" x14ac:dyDescent="0.25"/>
  <cols>
    <col min="1" max="1" width="5.28515625" style="52" customWidth="1"/>
    <col min="2" max="2" width="9.140625" style="52" customWidth="1"/>
    <col min="3" max="3" width="35.28515625" style="52" customWidth="1"/>
    <col min="4" max="4" width="10.5703125" style="52" bestFit="1" customWidth="1"/>
    <col min="5" max="5" width="8.42578125" style="52" bestFit="1" customWidth="1"/>
    <col min="6" max="6" width="8.42578125" style="52" customWidth="1"/>
    <col min="7" max="7" width="10.42578125" style="52" customWidth="1"/>
    <col min="8" max="8" width="7.85546875" style="52" bestFit="1" customWidth="1"/>
    <col min="9" max="9" width="7.85546875" style="52" customWidth="1"/>
    <col min="10" max="10" width="10.5703125" style="52" bestFit="1" customWidth="1"/>
    <col min="11" max="11" width="7.85546875" style="52" bestFit="1" customWidth="1"/>
    <col min="12" max="12" width="7.85546875" style="52" customWidth="1"/>
    <col min="13" max="13" width="10.5703125" style="52" bestFit="1" customWidth="1"/>
    <col min="14" max="14" width="7.85546875" style="52" bestFit="1" customWidth="1"/>
    <col min="15" max="15" width="7.85546875" style="52" customWidth="1"/>
    <col min="16" max="16" width="10.5703125" style="52" bestFit="1" customWidth="1"/>
    <col min="17" max="17" width="7.85546875" style="52" bestFit="1" customWidth="1"/>
    <col min="18" max="18" width="7.85546875" style="52" customWidth="1"/>
    <col min="19" max="19" width="9.5703125" style="52" bestFit="1" customWidth="1"/>
    <col min="20" max="20" width="7.85546875" style="52" bestFit="1" customWidth="1"/>
    <col min="21" max="21" width="7.85546875" style="52" customWidth="1"/>
    <col min="22" max="22" width="12.42578125" style="52" customWidth="1"/>
    <col min="23" max="24" width="14.28515625" style="52" customWidth="1"/>
    <col min="25" max="25" width="10.5703125" style="52" bestFit="1" customWidth="1"/>
    <col min="26" max="26" width="10.140625" style="52" bestFit="1" customWidth="1"/>
    <col min="27" max="27" width="10.140625" style="52" customWidth="1"/>
    <col min="28" max="29" width="12.42578125" style="52" bestFit="1" customWidth="1"/>
    <col min="30" max="30" width="11.85546875" style="52" customWidth="1"/>
    <col min="31" max="16384" width="9.28515625" style="52"/>
  </cols>
  <sheetData>
    <row r="1" spans="1:30" x14ac:dyDescent="0.25">
      <c r="A1" s="479"/>
      <c r="B1" s="480"/>
      <c r="C1" s="481"/>
      <c r="D1" s="481"/>
      <c r="E1" s="481"/>
      <c r="F1" s="481"/>
      <c r="G1" s="481"/>
      <c r="H1" s="481"/>
      <c r="I1" s="481"/>
      <c r="J1" s="481"/>
      <c r="K1" s="481"/>
      <c r="L1" s="317"/>
      <c r="Q1" s="366" t="s">
        <v>389</v>
      </c>
      <c r="R1" s="366"/>
    </row>
    <row r="2" spans="1:30" ht="54.75" customHeight="1" x14ac:dyDescent="0.25">
      <c r="A2" s="60"/>
      <c r="B2" s="60"/>
      <c r="C2" s="468" t="s">
        <v>388</v>
      </c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</row>
    <row r="3" spans="1:30" ht="54.75" customHeight="1" x14ac:dyDescent="0.3">
      <c r="A3" s="56" t="s">
        <v>52</v>
      </c>
      <c r="B3" s="56"/>
      <c r="C3" s="106" t="s">
        <v>60</v>
      </c>
      <c r="D3" s="476" t="s">
        <v>53</v>
      </c>
      <c r="E3" s="477"/>
      <c r="F3" s="478"/>
      <c r="G3" s="476" t="s">
        <v>54</v>
      </c>
      <c r="H3" s="477"/>
      <c r="I3" s="478"/>
      <c r="J3" s="476" t="s">
        <v>55</v>
      </c>
      <c r="K3" s="477"/>
      <c r="L3" s="478"/>
      <c r="M3" s="476" t="s">
        <v>62</v>
      </c>
      <c r="N3" s="477"/>
      <c r="O3" s="478"/>
      <c r="P3" s="476" t="s">
        <v>64</v>
      </c>
      <c r="Q3" s="477"/>
      <c r="R3" s="478"/>
      <c r="S3" s="476" t="s">
        <v>65</v>
      </c>
      <c r="T3" s="477"/>
      <c r="U3" s="478"/>
      <c r="V3" s="476" t="s">
        <v>66</v>
      </c>
      <c r="W3" s="477"/>
      <c r="X3" s="478"/>
      <c r="Y3" s="476" t="s">
        <v>67</v>
      </c>
      <c r="Z3" s="477"/>
      <c r="AA3" s="478"/>
      <c r="AB3" s="476" t="s">
        <v>99</v>
      </c>
      <c r="AC3" s="477"/>
      <c r="AD3" s="478"/>
    </row>
    <row r="4" spans="1:30" ht="84" customHeight="1" x14ac:dyDescent="0.25">
      <c r="A4" s="101">
        <v>1</v>
      </c>
      <c r="B4" s="102" t="s">
        <v>96</v>
      </c>
      <c r="C4" s="47" t="s">
        <v>69</v>
      </c>
      <c r="D4" s="464" t="s">
        <v>58</v>
      </c>
      <c r="E4" s="465"/>
      <c r="F4" s="466"/>
      <c r="G4" s="464" t="s">
        <v>57</v>
      </c>
      <c r="H4" s="465"/>
      <c r="I4" s="466"/>
      <c r="J4" s="464" t="s">
        <v>71</v>
      </c>
      <c r="K4" s="465"/>
      <c r="L4" s="466"/>
      <c r="M4" s="464" t="s">
        <v>72</v>
      </c>
      <c r="N4" s="465"/>
      <c r="O4" s="466"/>
      <c r="P4" s="464" t="s">
        <v>73</v>
      </c>
      <c r="Q4" s="465"/>
      <c r="R4" s="466"/>
      <c r="S4" s="464" t="s">
        <v>87</v>
      </c>
      <c r="T4" s="465"/>
      <c r="U4" s="466"/>
      <c r="V4" s="464" t="s">
        <v>88</v>
      </c>
      <c r="W4" s="465"/>
      <c r="X4" s="466"/>
      <c r="Y4" s="464" t="s">
        <v>127</v>
      </c>
      <c r="Z4" s="465"/>
      <c r="AA4" s="466"/>
      <c r="AB4" s="464" t="s">
        <v>75</v>
      </c>
      <c r="AC4" s="465"/>
      <c r="AD4" s="466"/>
    </row>
    <row r="5" spans="1:30" s="58" customFormat="1" ht="42.75" customHeight="1" x14ac:dyDescent="0.25">
      <c r="A5" s="101">
        <v>2</v>
      </c>
      <c r="B5" s="104"/>
      <c r="C5" s="47" t="s">
        <v>315</v>
      </c>
      <c r="D5" s="48" t="s">
        <v>341</v>
      </c>
      <c r="E5" s="14" t="s">
        <v>342</v>
      </c>
      <c r="F5" s="14" t="s">
        <v>416</v>
      </c>
      <c r="G5" s="48" t="s">
        <v>341</v>
      </c>
      <c r="H5" s="14" t="s">
        <v>342</v>
      </c>
      <c r="I5" s="14" t="s">
        <v>416</v>
      </c>
      <c r="J5" s="48" t="s">
        <v>385</v>
      </c>
      <c r="K5" s="14" t="s">
        <v>382</v>
      </c>
      <c r="L5" s="14" t="s">
        <v>416</v>
      </c>
      <c r="M5" s="48" t="s">
        <v>385</v>
      </c>
      <c r="N5" s="14" t="s">
        <v>382</v>
      </c>
      <c r="O5" s="14" t="s">
        <v>416</v>
      </c>
      <c r="P5" s="48" t="s">
        <v>385</v>
      </c>
      <c r="Q5" s="14" t="s">
        <v>382</v>
      </c>
      <c r="R5" s="14" t="s">
        <v>416</v>
      </c>
      <c r="S5" s="48" t="s">
        <v>385</v>
      </c>
      <c r="T5" s="14" t="s">
        <v>382</v>
      </c>
      <c r="U5" s="14" t="s">
        <v>416</v>
      </c>
      <c r="V5" s="48" t="s">
        <v>385</v>
      </c>
      <c r="W5" s="14" t="s">
        <v>382</v>
      </c>
      <c r="X5" s="14" t="s">
        <v>416</v>
      </c>
      <c r="Y5" s="48" t="s">
        <v>385</v>
      </c>
      <c r="Z5" s="14" t="s">
        <v>382</v>
      </c>
      <c r="AA5" s="14" t="s">
        <v>416</v>
      </c>
      <c r="AB5" s="48" t="s">
        <v>385</v>
      </c>
      <c r="AC5" s="14" t="s">
        <v>382</v>
      </c>
      <c r="AD5" s="102" t="s">
        <v>416</v>
      </c>
    </row>
    <row r="6" spans="1:30" s="58" customFormat="1" ht="25.5" x14ac:dyDescent="0.25">
      <c r="A6" s="101"/>
      <c r="B6" s="4" t="s">
        <v>76</v>
      </c>
      <c r="C6" s="342" t="s">
        <v>343</v>
      </c>
      <c r="D6" s="48"/>
      <c r="E6" s="14"/>
      <c r="F6" s="14"/>
      <c r="G6" s="48"/>
      <c r="H6" s="14"/>
      <c r="I6" s="14"/>
      <c r="J6" s="48"/>
      <c r="K6" s="14"/>
      <c r="L6" s="14"/>
      <c r="M6" s="48"/>
      <c r="N6" s="14"/>
      <c r="O6" s="14"/>
      <c r="P6" s="48"/>
      <c r="Q6" s="14"/>
      <c r="R6" s="14"/>
      <c r="S6" s="48"/>
      <c r="T6" s="14"/>
      <c r="U6" s="14"/>
      <c r="V6" s="86">
        <v>211650423</v>
      </c>
      <c r="W6" s="131">
        <v>223190968</v>
      </c>
      <c r="X6" s="131">
        <v>96064656</v>
      </c>
      <c r="Y6" s="86">
        <v>3755949</v>
      </c>
      <c r="Z6" s="86">
        <v>3755949</v>
      </c>
      <c r="AA6" s="86">
        <v>3755949</v>
      </c>
      <c r="AB6" s="289">
        <f>D6+G6+J6+M6+P6+S6+V6+Y6</f>
        <v>215406372</v>
      </c>
      <c r="AC6" s="131">
        <f>E6+H6+K6+N6+Q6+T6+W6+Z6</f>
        <v>226946917</v>
      </c>
      <c r="AD6" s="131">
        <f>F6+I6+L6+O6+R6+U6+X6+AA6</f>
        <v>99820605</v>
      </c>
    </row>
    <row r="7" spans="1:30" x14ac:dyDescent="0.25">
      <c r="A7" s="101">
        <v>3</v>
      </c>
      <c r="B7" s="4" t="s">
        <v>76</v>
      </c>
      <c r="C7" s="342" t="s">
        <v>344</v>
      </c>
      <c r="D7" s="84"/>
      <c r="E7" s="84"/>
      <c r="F7" s="84"/>
      <c r="G7" s="84"/>
      <c r="H7" s="84"/>
      <c r="I7" s="84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6"/>
      <c r="W7" s="86"/>
      <c r="X7" s="86"/>
      <c r="Y7" s="86"/>
      <c r="Z7" s="86"/>
      <c r="AA7" s="86"/>
      <c r="AB7" s="289">
        <f t="shared" ref="AB7:AB15" si="0">D7+G7+J7+M7+P7+S7+V7+Y7</f>
        <v>0</v>
      </c>
      <c r="AC7" s="131">
        <f t="shared" ref="AC7:AD15" si="1">E7+H7+K7+N7+Q7+T7+W7+Z7</f>
        <v>0</v>
      </c>
      <c r="AD7" s="55"/>
    </row>
    <row r="8" spans="1:30" x14ac:dyDescent="0.25">
      <c r="A8" s="101"/>
      <c r="B8" s="4" t="s">
        <v>76</v>
      </c>
      <c r="C8" s="342" t="s">
        <v>345</v>
      </c>
      <c r="D8" s="84"/>
      <c r="E8" s="84">
        <v>70000</v>
      </c>
      <c r="F8" s="84">
        <v>96768</v>
      </c>
      <c r="G8" s="84"/>
      <c r="H8" s="84"/>
      <c r="I8" s="84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6"/>
      <c r="W8" s="86"/>
      <c r="X8" s="86"/>
      <c r="Y8" s="86"/>
      <c r="Z8" s="86"/>
      <c r="AA8" s="86"/>
      <c r="AB8" s="289"/>
      <c r="AC8" s="131">
        <f t="shared" si="1"/>
        <v>70000</v>
      </c>
      <c r="AD8" s="131">
        <f t="shared" si="1"/>
        <v>96768</v>
      </c>
    </row>
    <row r="9" spans="1:30" ht="25.5" x14ac:dyDescent="0.25">
      <c r="A9" s="101"/>
      <c r="B9" s="4" t="s">
        <v>76</v>
      </c>
      <c r="C9" s="342" t="s">
        <v>326</v>
      </c>
      <c r="D9" s="84">
        <v>176301</v>
      </c>
      <c r="E9" s="84">
        <f>D9</f>
        <v>176301</v>
      </c>
      <c r="F9" s="84">
        <v>70400</v>
      </c>
      <c r="G9" s="84"/>
      <c r="H9" s="84"/>
      <c r="I9" s="84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86"/>
      <c r="X9" s="86"/>
      <c r="Y9" s="86"/>
      <c r="Z9" s="86"/>
      <c r="AA9" s="86"/>
      <c r="AB9" s="289">
        <f t="shared" si="0"/>
        <v>176301</v>
      </c>
      <c r="AC9" s="131">
        <f t="shared" si="1"/>
        <v>176301</v>
      </c>
      <c r="AD9" s="131">
        <f t="shared" si="1"/>
        <v>70400</v>
      </c>
    </row>
    <row r="10" spans="1:30" x14ac:dyDescent="0.25">
      <c r="A10" s="101"/>
      <c r="B10" s="4" t="s">
        <v>76</v>
      </c>
      <c r="C10" s="342" t="s">
        <v>346</v>
      </c>
      <c r="D10" s="84"/>
      <c r="E10" s="84"/>
      <c r="F10" s="84"/>
      <c r="G10" s="84"/>
      <c r="H10" s="84"/>
      <c r="I10" s="84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86"/>
      <c r="X10" s="86"/>
      <c r="Y10" s="86"/>
      <c r="Z10" s="86"/>
      <c r="AA10" s="86"/>
      <c r="AB10" s="289"/>
      <c r="AC10" s="131"/>
      <c r="AD10" s="55"/>
    </row>
    <row r="11" spans="1:30" ht="25.5" x14ac:dyDescent="0.25">
      <c r="A11" s="101">
        <v>4</v>
      </c>
      <c r="B11" s="4" t="s">
        <v>76</v>
      </c>
      <c r="C11" s="342" t="s">
        <v>347</v>
      </c>
      <c r="D11" s="84"/>
      <c r="E11" s="84"/>
      <c r="F11" s="84"/>
      <c r="G11" s="84"/>
      <c r="H11" s="84"/>
      <c r="I11" s="84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86"/>
      <c r="X11" s="86"/>
      <c r="Y11" s="86"/>
      <c r="Z11" s="86"/>
      <c r="AA11" s="86"/>
      <c r="AB11" s="289">
        <f t="shared" si="0"/>
        <v>0</v>
      </c>
      <c r="AC11" s="131">
        <f t="shared" si="1"/>
        <v>0</v>
      </c>
      <c r="AD11" s="131">
        <f t="shared" si="1"/>
        <v>0</v>
      </c>
    </row>
    <row r="12" spans="1:30" x14ac:dyDescent="0.25">
      <c r="A12" s="101"/>
      <c r="B12" s="4"/>
      <c r="C12" s="4"/>
      <c r="D12" s="84"/>
      <c r="E12" s="84"/>
      <c r="F12" s="84"/>
      <c r="G12" s="84"/>
      <c r="H12" s="84"/>
      <c r="I12" s="84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86"/>
      <c r="X12" s="86"/>
      <c r="Y12" s="86"/>
      <c r="Z12" s="86"/>
      <c r="AA12" s="86"/>
      <c r="AB12" s="289">
        <f t="shared" si="0"/>
        <v>0</v>
      </c>
      <c r="AC12" s="131">
        <f t="shared" si="1"/>
        <v>0</v>
      </c>
      <c r="AD12" s="131">
        <f t="shared" si="1"/>
        <v>0</v>
      </c>
    </row>
    <row r="13" spans="1:30" s="58" customFormat="1" x14ac:dyDescent="0.25">
      <c r="A13" s="101">
        <v>5</v>
      </c>
      <c r="B13" s="105"/>
      <c r="C13" s="59" t="s">
        <v>91</v>
      </c>
      <c r="D13" s="87">
        <f t="shared" ref="D13:AA13" si="2">SUM(D6:D11)</f>
        <v>176301</v>
      </c>
      <c r="E13" s="87">
        <f t="shared" si="2"/>
        <v>246301</v>
      </c>
      <c r="F13" s="87">
        <f t="shared" si="2"/>
        <v>167168</v>
      </c>
      <c r="G13" s="87">
        <f t="shared" si="2"/>
        <v>0</v>
      </c>
      <c r="H13" s="87">
        <f t="shared" si="2"/>
        <v>0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  <c r="N13" s="87">
        <f t="shared" si="2"/>
        <v>0</v>
      </c>
      <c r="O13" s="87">
        <f t="shared" si="2"/>
        <v>0</v>
      </c>
      <c r="P13" s="87">
        <f t="shared" si="2"/>
        <v>0</v>
      </c>
      <c r="Q13" s="87">
        <f t="shared" si="2"/>
        <v>0</v>
      </c>
      <c r="R13" s="87">
        <f t="shared" si="2"/>
        <v>0</v>
      </c>
      <c r="S13" s="87">
        <f t="shared" si="2"/>
        <v>0</v>
      </c>
      <c r="T13" s="87">
        <f t="shared" si="2"/>
        <v>0</v>
      </c>
      <c r="U13" s="87">
        <f t="shared" si="2"/>
        <v>0</v>
      </c>
      <c r="V13" s="87">
        <f t="shared" si="2"/>
        <v>211650423</v>
      </c>
      <c r="W13" s="87">
        <f t="shared" si="2"/>
        <v>223190968</v>
      </c>
      <c r="X13" s="87">
        <f t="shared" si="2"/>
        <v>96064656</v>
      </c>
      <c r="Y13" s="87">
        <f t="shared" si="2"/>
        <v>3755949</v>
      </c>
      <c r="Z13" s="87">
        <f t="shared" si="2"/>
        <v>3755949</v>
      </c>
      <c r="AA13" s="87">
        <f t="shared" si="2"/>
        <v>3755949</v>
      </c>
      <c r="AB13" s="289">
        <f t="shared" si="0"/>
        <v>215582673</v>
      </c>
      <c r="AC13" s="131">
        <f t="shared" si="1"/>
        <v>227193218</v>
      </c>
      <c r="AD13" s="131">
        <f t="shared" si="1"/>
        <v>99987773</v>
      </c>
    </row>
    <row r="14" spans="1:30" x14ac:dyDescent="0.25">
      <c r="A14" s="101">
        <v>6</v>
      </c>
      <c r="B14" s="4"/>
      <c r="C14" s="4" t="s">
        <v>81</v>
      </c>
      <c r="D14" s="81">
        <f t="shared" ref="D14:AA14" si="3">D7+D9+D11+D6</f>
        <v>176301</v>
      </c>
      <c r="E14" s="81">
        <f>E7+E9+E11+E6+E8</f>
        <v>246301</v>
      </c>
      <c r="F14" s="81">
        <f>F7+F9+F11+F6+F8</f>
        <v>167168</v>
      </c>
      <c r="G14" s="81">
        <f t="shared" si="3"/>
        <v>0</v>
      </c>
      <c r="H14" s="81">
        <f t="shared" si="3"/>
        <v>0</v>
      </c>
      <c r="I14" s="81">
        <f t="shared" si="3"/>
        <v>0</v>
      </c>
      <c r="J14" s="81">
        <f t="shared" si="3"/>
        <v>0</v>
      </c>
      <c r="K14" s="81">
        <f t="shared" si="3"/>
        <v>0</v>
      </c>
      <c r="L14" s="81">
        <f t="shared" si="3"/>
        <v>0</v>
      </c>
      <c r="M14" s="81">
        <f t="shared" si="3"/>
        <v>0</v>
      </c>
      <c r="N14" s="81">
        <f t="shared" si="3"/>
        <v>0</v>
      </c>
      <c r="O14" s="81">
        <f t="shared" si="3"/>
        <v>0</v>
      </c>
      <c r="P14" s="81">
        <f t="shared" si="3"/>
        <v>0</v>
      </c>
      <c r="Q14" s="81">
        <f t="shared" si="3"/>
        <v>0</v>
      </c>
      <c r="R14" s="81">
        <f t="shared" si="3"/>
        <v>0</v>
      </c>
      <c r="S14" s="81">
        <f t="shared" si="3"/>
        <v>0</v>
      </c>
      <c r="T14" s="81">
        <f t="shared" si="3"/>
        <v>0</v>
      </c>
      <c r="U14" s="81">
        <f t="shared" si="3"/>
        <v>0</v>
      </c>
      <c r="V14" s="81">
        <f t="shared" si="3"/>
        <v>211650423</v>
      </c>
      <c r="W14" s="81">
        <f t="shared" si="3"/>
        <v>223190968</v>
      </c>
      <c r="X14" s="81">
        <f t="shared" si="3"/>
        <v>96064656</v>
      </c>
      <c r="Y14" s="81">
        <f t="shared" si="3"/>
        <v>3755949</v>
      </c>
      <c r="Z14" s="81">
        <f t="shared" si="3"/>
        <v>3755949</v>
      </c>
      <c r="AA14" s="81">
        <f t="shared" si="3"/>
        <v>3755949</v>
      </c>
      <c r="AB14" s="289">
        <f t="shared" si="0"/>
        <v>215582673</v>
      </c>
      <c r="AC14" s="131">
        <f t="shared" si="1"/>
        <v>227193218</v>
      </c>
      <c r="AD14" s="131">
        <f t="shared" si="1"/>
        <v>99987773</v>
      </c>
    </row>
    <row r="15" spans="1:30" x14ac:dyDescent="0.25">
      <c r="A15" s="101">
        <v>7</v>
      </c>
      <c r="B15" s="4"/>
      <c r="C15" s="4" t="s">
        <v>82</v>
      </c>
      <c r="D15" s="81">
        <f t="shared" ref="D15:X15" si="4">SUMIF($B7:$B11,"nem kötelező",D7:D11)</f>
        <v>0</v>
      </c>
      <c r="E15" s="81">
        <f t="shared" si="4"/>
        <v>0</v>
      </c>
      <c r="F15" s="81">
        <f t="shared" si="4"/>
        <v>0</v>
      </c>
      <c r="G15" s="81">
        <f t="shared" si="4"/>
        <v>0</v>
      </c>
      <c r="H15" s="81">
        <f t="shared" si="4"/>
        <v>0</v>
      </c>
      <c r="I15" s="81">
        <f t="shared" si="4"/>
        <v>0</v>
      </c>
      <c r="J15" s="81">
        <f t="shared" si="4"/>
        <v>0</v>
      </c>
      <c r="K15" s="81">
        <f t="shared" si="4"/>
        <v>0</v>
      </c>
      <c r="L15" s="81">
        <f t="shared" si="4"/>
        <v>0</v>
      </c>
      <c r="M15" s="81">
        <f t="shared" si="4"/>
        <v>0</v>
      </c>
      <c r="N15" s="81">
        <f t="shared" si="4"/>
        <v>0</v>
      </c>
      <c r="O15" s="81">
        <f t="shared" si="4"/>
        <v>0</v>
      </c>
      <c r="P15" s="81">
        <f t="shared" si="4"/>
        <v>0</v>
      </c>
      <c r="Q15" s="81">
        <f t="shared" si="4"/>
        <v>0</v>
      </c>
      <c r="R15" s="81">
        <f t="shared" si="4"/>
        <v>0</v>
      </c>
      <c r="S15" s="81">
        <f t="shared" si="4"/>
        <v>0</v>
      </c>
      <c r="T15" s="81">
        <f t="shared" si="4"/>
        <v>0</v>
      </c>
      <c r="U15" s="81">
        <f t="shared" si="4"/>
        <v>0</v>
      </c>
      <c r="V15" s="81">
        <f t="shared" si="4"/>
        <v>0</v>
      </c>
      <c r="W15" s="81">
        <f t="shared" si="4"/>
        <v>0</v>
      </c>
      <c r="X15" s="81">
        <f t="shared" si="4"/>
        <v>0</v>
      </c>
      <c r="Y15" s="86"/>
      <c r="Z15" s="86"/>
      <c r="AA15" s="86"/>
      <c r="AB15" s="289">
        <f t="shared" si="0"/>
        <v>0</v>
      </c>
      <c r="AC15" s="131">
        <f t="shared" si="1"/>
        <v>0</v>
      </c>
      <c r="AD15" s="131">
        <f t="shared" si="1"/>
        <v>0</v>
      </c>
    </row>
    <row r="17" spans="7:29" x14ac:dyDescent="0.25">
      <c r="AC17" s="53"/>
    </row>
    <row r="23" spans="7:29" x14ac:dyDescent="0.25">
      <c r="G23" s="52" t="s">
        <v>98</v>
      </c>
    </row>
  </sheetData>
  <mergeCells count="20">
    <mergeCell ref="V3:X3"/>
    <mergeCell ref="V4:X4"/>
    <mergeCell ref="C2:AB2"/>
    <mergeCell ref="A1:K1"/>
    <mergeCell ref="Y3:AA3"/>
    <mergeCell ref="Y4:AA4"/>
    <mergeCell ref="AB3:AD3"/>
    <mergeCell ref="AB4:AD4"/>
    <mergeCell ref="D3:F3"/>
    <mergeCell ref="D4:F4"/>
    <mergeCell ref="G3:I3"/>
    <mergeCell ref="G4:I4"/>
    <mergeCell ref="J3:L3"/>
    <mergeCell ref="J4:L4"/>
    <mergeCell ref="M3:O3"/>
    <mergeCell ref="M4:O4"/>
    <mergeCell ref="P3:R3"/>
    <mergeCell ref="P4:R4"/>
    <mergeCell ref="S3:U3"/>
    <mergeCell ref="S4:U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Y74"/>
  <sheetViews>
    <sheetView zoomScale="91" zoomScaleNormal="91" zoomScaleSheetLayoutView="100" workbookViewId="0">
      <pane xSplit="3" ySplit="6" topLeftCell="AJ22" activePane="bottomRight" state="frozen"/>
      <selection pane="topRight" activeCell="D1" sqref="D1"/>
      <selection pane="bottomLeft" activeCell="A6" sqref="A6"/>
      <selection pane="bottomRight" activeCell="AB67" sqref="AB67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6" width="12.42578125" style="9" customWidth="1"/>
    <col min="7" max="9" width="13.28515625" style="9" customWidth="1"/>
    <col min="10" max="10" width="12.7109375" style="9" customWidth="1"/>
    <col min="11" max="12" width="13.42578125" style="9" customWidth="1"/>
    <col min="13" max="13" width="11.7109375" style="9" customWidth="1"/>
    <col min="14" max="16" width="12.28515625" style="9" customWidth="1"/>
    <col min="17" max="18" width="12.42578125" style="9" customWidth="1"/>
    <col min="19" max="21" width="12.28515625" style="9" customWidth="1"/>
    <col min="22" max="22" width="9.42578125" style="9" customWidth="1"/>
    <col min="23" max="23" width="7.140625" style="9" bestFit="1" customWidth="1"/>
    <col min="24" max="24" width="7.140625" style="9" customWidth="1"/>
    <col min="25" max="25" width="7.85546875" style="9" customWidth="1"/>
    <col min="26" max="26" width="11.28515625" style="9" customWidth="1"/>
    <col min="27" max="27" width="10" style="9" customWidth="1"/>
    <col min="28" max="29" width="12.42578125" style="9" bestFit="1" customWidth="1"/>
    <col min="30" max="30" width="12.42578125" style="9" customWidth="1"/>
    <col min="31" max="31" width="13.7109375" style="9" customWidth="1"/>
    <col min="32" max="33" width="14.7109375" style="9" customWidth="1"/>
    <col min="34" max="34" width="12.28515625" style="9" customWidth="1"/>
    <col min="35" max="35" width="11.28515625" style="9" bestFit="1" customWidth="1"/>
    <col min="36" max="36" width="11.28515625" style="9" customWidth="1"/>
    <col min="37" max="38" width="11.28515625" style="9" bestFit="1" customWidth="1"/>
    <col min="39" max="39" width="11.28515625" style="9" customWidth="1"/>
    <col min="40" max="41" width="10.140625" style="9" bestFit="1" customWidth="1"/>
    <col min="42" max="42" width="10.140625" style="9" customWidth="1"/>
    <col min="43" max="43" width="13.85546875" style="9" customWidth="1"/>
    <col min="44" max="44" width="14.28515625" style="9" bestFit="1" customWidth="1"/>
    <col min="45" max="45" width="14.28515625" style="9" customWidth="1"/>
    <col min="46" max="46" width="12.42578125" style="9" bestFit="1" customWidth="1"/>
    <col min="47" max="48" width="13.28515625" style="9" customWidth="1"/>
    <col min="49" max="49" width="14.5703125" style="9" customWidth="1"/>
    <col min="50" max="50" width="13.7109375" style="9" customWidth="1"/>
    <col min="51" max="51" width="15" style="9" customWidth="1"/>
    <col min="52" max="16384" width="9.28515625" style="9"/>
  </cols>
  <sheetData>
    <row r="1" spans="1:51" x14ac:dyDescent="0.25"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  <c r="AW1" s="482"/>
    </row>
    <row r="2" spans="1:51" x14ac:dyDescent="0.25"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AN2" s="9" t="s">
        <v>390</v>
      </c>
      <c r="AU2" s="331"/>
      <c r="AV2" s="331"/>
      <c r="AW2" s="331"/>
      <c r="AX2" s="319"/>
    </row>
    <row r="3" spans="1:51" ht="15" customHeight="1" x14ac:dyDescent="0.25">
      <c r="A3" s="334"/>
      <c r="B3" s="335"/>
      <c r="C3" s="487" t="s">
        <v>367</v>
      </c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488"/>
      <c r="AO3" s="488"/>
      <c r="AP3" s="488"/>
      <c r="AQ3" s="488"/>
      <c r="AR3" s="488"/>
      <c r="AS3" s="488"/>
      <c r="AT3" s="488"/>
      <c r="AU3" s="488"/>
      <c r="AV3" s="488"/>
      <c r="AW3" s="488"/>
      <c r="AX3" s="488"/>
      <c r="AY3" s="489"/>
    </row>
    <row r="4" spans="1:51" ht="48" customHeight="1" x14ac:dyDescent="0.25">
      <c r="A4" s="330" t="s">
        <v>52</v>
      </c>
      <c r="B4" s="330" t="s">
        <v>60</v>
      </c>
      <c r="C4" s="332" t="s">
        <v>53</v>
      </c>
      <c r="D4" s="484" t="s">
        <v>54</v>
      </c>
      <c r="E4" s="485"/>
      <c r="F4" s="486"/>
      <c r="G4" s="484" t="s">
        <v>55</v>
      </c>
      <c r="H4" s="485"/>
      <c r="I4" s="486"/>
      <c r="J4" s="484" t="s">
        <v>62</v>
      </c>
      <c r="K4" s="485"/>
      <c r="L4" s="486"/>
      <c r="M4" s="484" t="s">
        <v>64</v>
      </c>
      <c r="N4" s="485"/>
      <c r="O4" s="486"/>
      <c r="P4" s="484" t="s">
        <v>65</v>
      </c>
      <c r="Q4" s="485"/>
      <c r="R4" s="486"/>
      <c r="S4" s="484" t="s">
        <v>66</v>
      </c>
      <c r="T4" s="485"/>
      <c r="U4" s="486"/>
      <c r="V4" s="484" t="s">
        <v>67</v>
      </c>
      <c r="W4" s="485"/>
      <c r="X4" s="486"/>
      <c r="Y4" s="484" t="s">
        <v>93</v>
      </c>
      <c r="Z4" s="485"/>
      <c r="AA4" s="486"/>
      <c r="AB4" s="484" t="s">
        <v>180</v>
      </c>
      <c r="AC4" s="485"/>
      <c r="AD4" s="486"/>
      <c r="AE4" s="484" t="s">
        <v>94</v>
      </c>
      <c r="AF4" s="485"/>
      <c r="AG4" s="486"/>
      <c r="AH4" s="484" t="s">
        <v>181</v>
      </c>
      <c r="AI4" s="485"/>
      <c r="AJ4" s="486"/>
      <c r="AK4" s="484" t="s">
        <v>95</v>
      </c>
      <c r="AL4" s="485"/>
      <c r="AM4" s="486"/>
      <c r="AN4" s="484" t="s">
        <v>208</v>
      </c>
      <c r="AO4" s="485"/>
      <c r="AP4" s="486"/>
      <c r="AQ4" s="484" t="s">
        <v>182</v>
      </c>
      <c r="AR4" s="485"/>
      <c r="AS4" s="486"/>
      <c r="AT4" s="484" t="s">
        <v>183</v>
      </c>
      <c r="AU4" s="485"/>
      <c r="AV4" s="486"/>
      <c r="AW4" s="333"/>
      <c r="AX4" s="330" t="s">
        <v>184</v>
      </c>
      <c r="AY4" s="16"/>
    </row>
    <row r="5" spans="1:51" ht="72.75" customHeight="1" x14ac:dyDescent="0.25">
      <c r="A5" s="11" t="s">
        <v>1</v>
      </c>
      <c r="B5" s="108" t="s">
        <v>68</v>
      </c>
      <c r="C5" s="13" t="s">
        <v>69</v>
      </c>
      <c r="D5" s="490" t="s">
        <v>41</v>
      </c>
      <c r="E5" s="491"/>
      <c r="F5" s="492"/>
      <c r="G5" s="490" t="s">
        <v>100</v>
      </c>
      <c r="H5" s="491"/>
      <c r="I5" s="492"/>
      <c r="J5" s="490" t="s">
        <v>42</v>
      </c>
      <c r="K5" s="491"/>
      <c r="L5" s="492"/>
      <c r="M5" s="490" t="s">
        <v>101</v>
      </c>
      <c r="N5" s="491"/>
      <c r="O5" s="492"/>
      <c r="P5" s="490" t="s">
        <v>102</v>
      </c>
      <c r="Q5" s="491"/>
      <c r="R5" s="492"/>
      <c r="S5" s="490" t="s">
        <v>103</v>
      </c>
      <c r="T5" s="491"/>
      <c r="U5" s="492"/>
      <c r="V5" s="490" t="s">
        <v>119</v>
      </c>
      <c r="W5" s="491"/>
      <c r="X5" s="492"/>
      <c r="Y5" s="490" t="s">
        <v>120</v>
      </c>
      <c r="Z5" s="491"/>
      <c r="AA5" s="492"/>
      <c r="AB5" s="490" t="s">
        <v>45</v>
      </c>
      <c r="AC5" s="491"/>
      <c r="AD5" s="492"/>
      <c r="AE5" s="490" t="s">
        <v>46</v>
      </c>
      <c r="AF5" s="491"/>
      <c r="AG5" s="492"/>
      <c r="AH5" s="490" t="s">
        <v>104</v>
      </c>
      <c r="AI5" s="491"/>
      <c r="AJ5" s="492"/>
      <c r="AK5" s="490" t="s">
        <v>105</v>
      </c>
      <c r="AL5" s="491"/>
      <c r="AM5" s="492"/>
      <c r="AN5" s="490" t="s">
        <v>209</v>
      </c>
      <c r="AO5" s="491"/>
      <c r="AP5" s="492"/>
      <c r="AQ5" s="490" t="s">
        <v>83</v>
      </c>
      <c r="AR5" s="491"/>
      <c r="AS5" s="492"/>
      <c r="AT5" s="490" t="s">
        <v>106</v>
      </c>
      <c r="AU5" s="491"/>
      <c r="AV5" s="492"/>
      <c r="AW5" s="14" t="s">
        <v>107</v>
      </c>
      <c r="AX5" s="14" t="s">
        <v>107</v>
      </c>
      <c r="AY5" s="14" t="s">
        <v>417</v>
      </c>
    </row>
    <row r="6" spans="1:51" ht="43.5" customHeight="1" x14ac:dyDescent="0.25">
      <c r="A6" s="11" t="s">
        <v>3</v>
      </c>
      <c r="B6" s="12"/>
      <c r="C6" s="13" t="s">
        <v>205</v>
      </c>
      <c r="D6" s="15" t="s">
        <v>391</v>
      </c>
      <c r="E6" s="15" t="s">
        <v>382</v>
      </c>
      <c r="F6" s="15" t="s">
        <v>416</v>
      </c>
      <c r="G6" s="15" t="s">
        <v>391</v>
      </c>
      <c r="H6" s="15" t="s">
        <v>382</v>
      </c>
      <c r="I6" s="15" t="s">
        <v>416</v>
      </c>
      <c r="J6" s="15" t="s">
        <v>391</v>
      </c>
      <c r="K6" s="15" t="s">
        <v>382</v>
      </c>
      <c r="L6" s="15" t="s">
        <v>416</v>
      </c>
      <c r="M6" s="15" t="s">
        <v>391</v>
      </c>
      <c r="N6" s="15" t="s">
        <v>382</v>
      </c>
      <c r="O6" s="15" t="s">
        <v>416</v>
      </c>
      <c r="P6" s="15" t="s">
        <v>391</v>
      </c>
      <c r="Q6" s="15" t="s">
        <v>382</v>
      </c>
      <c r="R6" s="15" t="s">
        <v>416</v>
      </c>
      <c r="S6" s="15" t="s">
        <v>391</v>
      </c>
      <c r="T6" s="15" t="s">
        <v>382</v>
      </c>
      <c r="U6" s="15" t="s">
        <v>416</v>
      </c>
      <c r="V6" s="15" t="s">
        <v>391</v>
      </c>
      <c r="W6" s="15" t="s">
        <v>382</v>
      </c>
      <c r="X6" s="15" t="s">
        <v>416</v>
      </c>
      <c r="Y6" s="15" t="s">
        <v>391</v>
      </c>
      <c r="Z6" s="15" t="s">
        <v>382</v>
      </c>
      <c r="AA6" s="15" t="s">
        <v>416</v>
      </c>
      <c r="AB6" s="15" t="s">
        <v>391</v>
      </c>
      <c r="AC6" s="15" t="s">
        <v>382</v>
      </c>
      <c r="AD6" s="15" t="s">
        <v>416</v>
      </c>
      <c r="AE6" s="15" t="s">
        <v>391</v>
      </c>
      <c r="AF6" s="15" t="s">
        <v>382</v>
      </c>
      <c r="AG6" s="15" t="s">
        <v>416</v>
      </c>
      <c r="AH6" s="15" t="s">
        <v>391</v>
      </c>
      <c r="AI6" s="15" t="s">
        <v>382</v>
      </c>
      <c r="AJ6" s="15" t="s">
        <v>416</v>
      </c>
      <c r="AK6" s="15" t="s">
        <v>391</v>
      </c>
      <c r="AL6" s="15" t="s">
        <v>382</v>
      </c>
      <c r="AM6" s="15" t="s">
        <v>416</v>
      </c>
      <c r="AN6" s="15" t="s">
        <v>391</v>
      </c>
      <c r="AO6" s="15" t="s">
        <v>382</v>
      </c>
      <c r="AP6" s="15" t="s">
        <v>416</v>
      </c>
      <c r="AQ6" s="15" t="s">
        <v>391</v>
      </c>
      <c r="AR6" s="15" t="s">
        <v>382</v>
      </c>
      <c r="AS6" s="15" t="s">
        <v>416</v>
      </c>
      <c r="AT6" s="15" t="s">
        <v>391</v>
      </c>
      <c r="AU6" s="15" t="s">
        <v>382</v>
      </c>
      <c r="AV6" s="15" t="s">
        <v>416</v>
      </c>
      <c r="AW6" s="15" t="s">
        <v>392</v>
      </c>
      <c r="AX6" s="15" t="s">
        <v>382</v>
      </c>
      <c r="AY6" s="16" t="s">
        <v>416</v>
      </c>
    </row>
    <row r="7" spans="1:51" x14ac:dyDescent="0.25">
      <c r="A7" s="11" t="s">
        <v>4</v>
      </c>
      <c r="B7" s="5" t="s">
        <v>76</v>
      </c>
      <c r="C7" s="6" t="s">
        <v>188</v>
      </c>
      <c r="D7" s="88">
        <v>19948720</v>
      </c>
      <c r="E7" s="116">
        <v>21837883</v>
      </c>
      <c r="F7" s="116">
        <v>9725860</v>
      </c>
      <c r="G7" s="88">
        <v>2424597</v>
      </c>
      <c r="H7" s="88">
        <v>2424597</v>
      </c>
      <c r="I7" s="88">
        <v>1333025</v>
      </c>
      <c r="J7" s="88">
        <v>20949085</v>
      </c>
      <c r="K7" s="88">
        <v>20949085</v>
      </c>
      <c r="L7" s="88">
        <v>6937588</v>
      </c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>
        <v>250190</v>
      </c>
      <c r="AC7" s="88">
        <v>1520190</v>
      </c>
      <c r="AD7" s="88">
        <v>516064</v>
      </c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7">
        <f t="shared" ref="AQ7:AQ42" si="0">D7+G7+J7+M7+P7+S7+V7+Y7+AB7+AE7+AH7+AK7+AN7</f>
        <v>43572592</v>
      </c>
      <c r="AR7" s="7">
        <f t="shared" ref="AR7:AS42" si="1">E7+H7+K7+N7+Q7+T7+W7+Z7+AC7+AF7+AI7+AL7+AO7</f>
        <v>46731755</v>
      </c>
      <c r="AS7" s="7">
        <f t="shared" si="1"/>
        <v>18512537</v>
      </c>
      <c r="AT7" s="8"/>
      <c r="AU7" s="8"/>
      <c r="AV7" s="8"/>
      <c r="AW7" s="8">
        <f>AQ7+AT7</f>
        <v>43572592</v>
      </c>
      <c r="AX7" s="133">
        <f>AR7+AU7</f>
        <v>46731755</v>
      </c>
      <c r="AY7" s="133">
        <f>AS7+AV7</f>
        <v>18512537</v>
      </c>
    </row>
    <row r="8" spans="1:51" x14ac:dyDescent="0.25">
      <c r="A8" s="11" t="s">
        <v>19</v>
      </c>
      <c r="B8" s="5" t="s">
        <v>76</v>
      </c>
      <c r="C8" s="6" t="s">
        <v>210</v>
      </c>
      <c r="D8" s="88"/>
      <c r="E8" s="116"/>
      <c r="F8" s="116"/>
      <c r="G8" s="88"/>
      <c r="H8" s="88"/>
      <c r="I8" s="88"/>
      <c r="J8" s="88">
        <v>1515070</v>
      </c>
      <c r="K8" s="88">
        <f>J8</f>
        <v>1515070</v>
      </c>
      <c r="L8" s="88">
        <v>130133</v>
      </c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7">
        <f t="shared" si="0"/>
        <v>1515070</v>
      </c>
      <c r="AR8" s="7">
        <f t="shared" si="1"/>
        <v>1515070</v>
      </c>
      <c r="AS8" s="7">
        <f t="shared" si="1"/>
        <v>130133</v>
      </c>
      <c r="AT8" s="8"/>
      <c r="AU8" s="8"/>
      <c r="AV8" s="8"/>
      <c r="AW8" s="8">
        <f t="shared" ref="AW8:AW42" si="2">AQ8+AT8</f>
        <v>1515070</v>
      </c>
      <c r="AX8" s="133">
        <f t="shared" ref="AX8:AY42" si="3">AR8+AU8</f>
        <v>1515070</v>
      </c>
      <c r="AY8" s="133">
        <f t="shared" si="3"/>
        <v>130133</v>
      </c>
    </row>
    <row r="9" spans="1:51" x14ac:dyDescent="0.25">
      <c r="A9" s="11" t="s">
        <v>21</v>
      </c>
      <c r="B9" s="5" t="s">
        <v>76</v>
      </c>
      <c r="C9" s="6" t="s">
        <v>189</v>
      </c>
      <c r="D9" s="89">
        <v>110000</v>
      </c>
      <c r="E9" s="117">
        <f>D9</f>
        <v>110000</v>
      </c>
      <c r="F9" s="117">
        <v>0</v>
      </c>
      <c r="G9" s="89"/>
      <c r="H9" s="89"/>
      <c r="I9" s="89"/>
      <c r="J9" s="92">
        <v>14444349</v>
      </c>
      <c r="K9" s="92">
        <f>J9</f>
        <v>14444349</v>
      </c>
      <c r="L9" s="92">
        <v>3741996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2"/>
      <c r="AI9" s="92"/>
      <c r="AJ9" s="92"/>
      <c r="AK9" s="89"/>
      <c r="AL9" s="89"/>
      <c r="AM9" s="89"/>
      <c r="AN9" s="89"/>
      <c r="AO9" s="89"/>
      <c r="AP9" s="89"/>
      <c r="AQ9" s="7">
        <f t="shared" si="0"/>
        <v>14554349</v>
      </c>
      <c r="AR9" s="7">
        <f t="shared" si="1"/>
        <v>14554349</v>
      </c>
      <c r="AS9" s="7">
        <f t="shared" si="1"/>
        <v>3741996</v>
      </c>
      <c r="AT9" s="8"/>
      <c r="AU9" s="8"/>
      <c r="AV9" s="8"/>
      <c r="AW9" s="8">
        <f t="shared" si="2"/>
        <v>14554349</v>
      </c>
      <c r="AX9" s="133">
        <f t="shared" si="3"/>
        <v>14554349</v>
      </c>
      <c r="AY9" s="133">
        <f t="shared" si="3"/>
        <v>3741996</v>
      </c>
    </row>
    <row r="10" spans="1:51" x14ac:dyDescent="0.25">
      <c r="A10" s="11" t="s">
        <v>22</v>
      </c>
      <c r="B10" s="5" t="s">
        <v>76</v>
      </c>
      <c r="C10" s="6" t="s">
        <v>220</v>
      </c>
      <c r="D10" s="89"/>
      <c r="E10" s="117"/>
      <c r="F10" s="117"/>
      <c r="G10" s="89"/>
      <c r="H10" s="89"/>
      <c r="I10" s="89"/>
      <c r="J10" s="92"/>
      <c r="K10" s="92"/>
      <c r="L10" s="92"/>
      <c r="M10" s="89"/>
      <c r="N10" s="89"/>
      <c r="O10" s="89"/>
      <c r="P10" s="89"/>
      <c r="Q10" s="89"/>
      <c r="R10" s="89"/>
      <c r="S10" s="89"/>
      <c r="T10" s="89">
        <v>7619425</v>
      </c>
      <c r="U10" s="89">
        <v>7619425</v>
      </c>
      <c r="V10" s="89"/>
      <c r="W10" s="89"/>
      <c r="X10" s="89"/>
      <c r="Y10" s="89"/>
      <c r="Z10" s="89">
        <v>5730105</v>
      </c>
      <c r="AA10" s="89">
        <v>5730105</v>
      </c>
      <c r="AB10" s="89"/>
      <c r="AC10" s="89"/>
      <c r="AD10" s="89"/>
      <c r="AE10" s="89"/>
      <c r="AF10" s="89"/>
      <c r="AG10" s="89"/>
      <c r="AH10" s="92"/>
      <c r="AI10" s="92"/>
      <c r="AJ10" s="92"/>
      <c r="AK10" s="89"/>
      <c r="AL10" s="89"/>
      <c r="AM10" s="89"/>
      <c r="AN10" s="89"/>
      <c r="AO10" s="89"/>
      <c r="AP10" s="89"/>
      <c r="AQ10" s="7">
        <f t="shared" si="0"/>
        <v>0</v>
      </c>
      <c r="AR10" s="7">
        <f t="shared" si="1"/>
        <v>13349530</v>
      </c>
      <c r="AS10" s="7">
        <f t="shared" si="1"/>
        <v>13349530</v>
      </c>
      <c r="AT10" s="8"/>
      <c r="AU10" s="8"/>
      <c r="AV10" s="8"/>
      <c r="AW10" s="8">
        <f t="shared" si="2"/>
        <v>0</v>
      </c>
      <c r="AX10" s="133">
        <f t="shared" si="3"/>
        <v>13349530</v>
      </c>
      <c r="AY10" s="133">
        <f t="shared" si="3"/>
        <v>13349530</v>
      </c>
    </row>
    <row r="11" spans="1:51" x14ac:dyDescent="0.25">
      <c r="A11" s="11" t="s">
        <v>24</v>
      </c>
      <c r="B11" s="5" t="s">
        <v>76</v>
      </c>
      <c r="C11" s="6" t="s">
        <v>190</v>
      </c>
      <c r="D11" s="89"/>
      <c r="E11" s="117"/>
      <c r="F11" s="117"/>
      <c r="G11" s="89"/>
      <c r="H11" s="89"/>
      <c r="I11" s="89"/>
      <c r="J11" s="92"/>
      <c r="K11" s="92"/>
      <c r="L11" s="92"/>
      <c r="M11" s="89"/>
      <c r="N11" s="89"/>
      <c r="O11" s="89"/>
      <c r="P11" s="89"/>
      <c r="Q11" s="89"/>
      <c r="R11" s="89"/>
      <c r="S11" s="89">
        <v>7767900</v>
      </c>
      <c r="T11" s="89">
        <f>S11</f>
        <v>7767900</v>
      </c>
      <c r="U11" s="89">
        <v>3367530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92"/>
      <c r="AI11" s="92"/>
      <c r="AJ11" s="92"/>
      <c r="AK11" s="89"/>
      <c r="AL11" s="89"/>
      <c r="AM11" s="89"/>
      <c r="AN11" s="89"/>
      <c r="AO11" s="89"/>
      <c r="AP11" s="89"/>
      <c r="AQ11" s="7">
        <f t="shared" si="0"/>
        <v>7767900</v>
      </c>
      <c r="AR11" s="7">
        <f t="shared" si="1"/>
        <v>7767900</v>
      </c>
      <c r="AS11" s="7">
        <f t="shared" si="1"/>
        <v>3367530</v>
      </c>
      <c r="AT11" s="92">
        <f ca="1">'2.melléklet.Önkormányzat.és int'!AL44</f>
        <v>562457489</v>
      </c>
      <c r="AU11" s="372">
        <v>586161901</v>
      </c>
      <c r="AV11" s="372">
        <v>275730266</v>
      </c>
      <c r="AW11" s="8">
        <f t="shared" ca="1" si="2"/>
        <v>570225389</v>
      </c>
      <c r="AX11" s="133">
        <f t="shared" si="3"/>
        <v>593929801</v>
      </c>
      <c r="AY11" s="133">
        <f t="shared" si="3"/>
        <v>279097796</v>
      </c>
    </row>
    <row r="12" spans="1:51" x14ac:dyDescent="0.25">
      <c r="A12" s="11" t="s">
        <v>25</v>
      </c>
      <c r="B12" s="5" t="s">
        <v>77</v>
      </c>
      <c r="C12" s="6" t="s">
        <v>191</v>
      </c>
      <c r="D12" s="89"/>
      <c r="E12" s="117"/>
      <c r="F12" s="117"/>
      <c r="G12" s="89"/>
      <c r="H12" s="89"/>
      <c r="I12" s="89"/>
      <c r="J12" s="92"/>
      <c r="K12" s="92"/>
      <c r="L12" s="92"/>
      <c r="M12" s="89"/>
      <c r="N12" s="89"/>
      <c r="O12" s="89"/>
      <c r="P12" s="89">
        <v>3300000</v>
      </c>
      <c r="Q12" s="89">
        <v>3300000</v>
      </c>
      <c r="R12" s="89">
        <v>850000</v>
      </c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2"/>
      <c r="AI12" s="92"/>
      <c r="AJ12" s="92"/>
      <c r="AK12" s="89"/>
      <c r="AL12" s="89"/>
      <c r="AM12" s="89"/>
      <c r="AN12" s="89"/>
      <c r="AO12" s="89"/>
      <c r="AP12" s="89"/>
      <c r="AQ12" s="7">
        <f t="shared" si="0"/>
        <v>3300000</v>
      </c>
      <c r="AR12" s="7">
        <f t="shared" si="1"/>
        <v>3300000</v>
      </c>
      <c r="AS12" s="7">
        <f t="shared" si="1"/>
        <v>850000</v>
      </c>
      <c r="AT12" s="8"/>
      <c r="AU12" s="8"/>
      <c r="AV12" s="8"/>
      <c r="AW12" s="8">
        <f t="shared" si="2"/>
        <v>3300000</v>
      </c>
      <c r="AX12" s="133">
        <f t="shared" si="3"/>
        <v>3300000</v>
      </c>
      <c r="AY12" s="133">
        <f t="shared" si="3"/>
        <v>850000</v>
      </c>
    </row>
    <row r="13" spans="1:51" ht="20.25" customHeight="1" x14ac:dyDescent="0.25">
      <c r="A13" s="11" t="s">
        <v>26</v>
      </c>
      <c r="B13" s="5" t="s">
        <v>76</v>
      </c>
      <c r="C13" s="37" t="s">
        <v>192</v>
      </c>
      <c r="D13" s="89"/>
      <c r="E13" s="117"/>
      <c r="F13" s="117"/>
      <c r="G13" s="89"/>
      <c r="H13" s="89"/>
      <c r="I13" s="89"/>
      <c r="J13" s="92"/>
      <c r="K13" s="92"/>
      <c r="L13" s="92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2"/>
      <c r="AI13" s="92"/>
      <c r="AJ13" s="92"/>
      <c r="AK13" s="89"/>
      <c r="AL13" s="89"/>
      <c r="AM13" s="89"/>
      <c r="AN13" s="89"/>
      <c r="AO13" s="89"/>
      <c r="AP13" s="89"/>
      <c r="AQ13" s="7">
        <f t="shared" si="0"/>
        <v>0</v>
      </c>
      <c r="AR13" s="7">
        <f t="shared" si="1"/>
        <v>0</v>
      </c>
      <c r="AS13" s="7"/>
      <c r="AT13" s="8"/>
      <c r="AU13" s="8"/>
      <c r="AV13" s="8"/>
      <c r="AW13" s="8">
        <f t="shared" si="2"/>
        <v>0</v>
      </c>
      <c r="AX13" s="133">
        <f t="shared" si="3"/>
        <v>0</v>
      </c>
      <c r="AY13" s="64"/>
    </row>
    <row r="14" spans="1:51" x14ac:dyDescent="0.25">
      <c r="A14" s="11" t="s">
        <v>29</v>
      </c>
      <c r="B14" s="5" t="s">
        <v>76</v>
      </c>
      <c r="C14" s="6" t="s">
        <v>193</v>
      </c>
      <c r="D14" s="89">
        <v>86315000</v>
      </c>
      <c r="E14" s="117">
        <f>D14</f>
        <v>86315000</v>
      </c>
      <c r="F14" s="117">
        <v>40080136</v>
      </c>
      <c r="G14" s="89">
        <v>5610475</v>
      </c>
      <c r="H14" s="89">
        <f>G14</f>
        <v>5610475</v>
      </c>
      <c r="I14" s="89">
        <v>2888230</v>
      </c>
      <c r="J14" s="92">
        <v>5183608</v>
      </c>
      <c r="K14" s="92">
        <f>J14</f>
        <v>5183608</v>
      </c>
      <c r="L14" s="92">
        <v>1927439</v>
      </c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>
        <v>530390</v>
      </c>
      <c r="AE14" s="89"/>
      <c r="AF14" s="89"/>
      <c r="AG14" s="89"/>
      <c r="AH14" s="92"/>
      <c r="AI14" s="92"/>
      <c r="AJ14" s="92"/>
      <c r="AK14" s="89"/>
      <c r="AL14" s="89"/>
      <c r="AM14" s="89"/>
      <c r="AN14" s="89"/>
      <c r="AO14" s="89"/>
      <c r="AP14" s="89"/>
      <c r="AQ14" s="7">
        <f t="shared" si="0"/>
        <v>97109083</v>
      </c>
      <c r="AR14" s="7">
        <f t="shared" si="1"/>
        <v>97109083</v>
      </c>
      <c r="AS14" s="7">
        <f t="shared" si="1"/>
        <v>45426195</v>
      </c>
      <c r="AT14" s="8"/>
      <c r="AU14" s="8"/>
      <c r="AV14" s="8"/>
      <c r="AW14" s="8">
        <f t="shared" si="2"/>
        <v>97109083</v>
      </c>
      <c r="AX14" s="133">
        <f t="shared" si="3"/>
        <v>97109083</v>
      </c>
      <c r="AY14" s="133">
        <f t="shared" si="3"/>
        <v>45426195</v>
      </c>
    </row>
    <row r="15" spans="1:51" x14ac:dyDescent="0.25">
      <c r="A15" s="11" t="s">
        <v>34</v>
      </c>
      <c r="B15" s="5" t="s">
        <v>77</v>
      </c>
      <c r="C15" s="6" t="s">
        <v>211</v>
      </c>
      <c r="D15" s="89"/>
      <c r="E15" s="117"/>
      <c r="F15" s="117"/>
      <c r="G15" s="89"/>
      <c r="H15" s="89"/>
      <c r="I15" s="89"/>
      <c r="J15" s="92">
        <v>11451120</v>
      </c>
      <c r="K15" s="92">
        <v>11451120</v>
      </c>
      <c r="L15" s="92">
        <v>6405749</v>
      </c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2"/>
      <c r="AI15" s="92"/>
      <c r="AJ15" s="92"/>
      <c r="AK15" s="89"/>
      <c r="AL15" s="89"/>
      <c r="AM15" s="89"/>
      <c r="AN15" s="89"/>
      <c r="AO15" s="89"/>
      <c r="AP15" s="89"/>
      <c r="AQ15" s="7">
        <f t="shared" si="0"/>
        <v>11451120</v>
      </c>
      <c r="AR15" s="7">
        <f t="shared" si="1"/>
        <v>11451120</v>
      </c>
      <c r="AS15" s="7">
        <f t="shared" si="1"/>
        <v>6405749</v>
      </c>
      <c r="AT15" s="8"/>
      <c r="AU15" s="8"/>
      <c r="AV15" s="8"/>
      <c r="AW15" s="8">
        <f t="shared" si="2"/>
        <v>11451120</v>
      </c>
      <c r="AX15" s="133">
        <f t="shared" si="3"/>
        <v>11451120</v>
      </c>
      <c r="AY15" s="133">
        <f t="shared" si="3"/>
        <v>6405749</v>
      </c>
    </row>
    <row r="16" spans="1:51" x14ac:dyDescent="0.25">
      <c r="A16" s="11" t="s">
        <v>56</v>
      </c>
      <c r="B16" s="5" t="s">
        <v>76</v>
      </c>
      <c r="C16" s="6" t="s">
        <v>239</v>
      </c>
      <c r="D16" s="89">
        <v>800000</v>
      </c>
      <c r="E16" s="117">
        <f>D16</f>
        <v>800000</v>
      </c>
      <c r="F16" s="117">
        <v>575400</v>
      </c>
      <c r="G16" s="89">
        <v>104000</v>
      </c>
      <c r="H16" s="89">
        <f>G16</f>
        <v>104000</v>
      </c>
      <c r="I16" s="89">
        <v>0</v>
      </c>
      <c r="J16" s="92">
        <f>4443672+31343360</f>
        <v>35787032</v>
      </c>
      <c r="K16" s="92">
        <f>J16</f>
        <v>35787032</v>
      </c>
      <c r="L16" s="92">
        <v>16101079</v>
      </c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>
        <v>116086518</v>
      </c>
      <c r="AC16" s="89">
        <f>AB16</f>
        <v>116086518</v>
      </c>
      <c r="AD16" s="89">
        <v>55886784</v>
      </c>
      <c r="AE16" s="89"/>
      <c r="AF16" s="89"/>
      <c r="AG16" s="89">
        <v>70437722</v>
      </c>
      <c r="AH16" s="92"/>
      <c r="AI16" s="92"/>
      <c r="AJ16" s="92"/>
      <c r="AK16" s="89"/>
      <c r="AL16" s="89"/>
      <c r="AM16" s="89"/>
      <c r="AN16" s="89"/>
      <c r="AO16" s="89"/>
      <c r="AP16" s="89"/>
      <c r="AQ16" s="7">
        <f t="shared" si="0"/>
        <v>152777550</v>
      </c>
      <c r="AR16" s="7">
        <f t="shared" si="1"/>
        <v>152777550</v>
      </c>
      <c r="AS16" s="7">
        <f t="shared" si="1"/>
        <v>143000985</v>
      </c>
      <c r="AT16" s="8"/>
      <c r="AU16" s="8"/>
      <c r="AV16" s="8"/>
      <c r="AW16" s="8">
        <f t="shared" si="2"/>
        <v>152777550</v>
      </c>
      <c r="AX16" s="133">
        <f t="shared" si="3"/>
        <v>152777550</v>
      </c>
      <c r="AY16" s="133">
        <f t="shared" si="3"/>
        <v>143000985</v>
      </c>
    </row>
    <row r="17" spans="1:51" x14ac:dyDescent="0.25">
      <c r="A17" s="11" t="s">
        <v>38</v>
      </c>
      <c r="B17" s="5" t="s">
        <v>77</v>
      </c>
      <c r="C17" s="37" t="s">
        <v>351</v>
      </c>
      <c r="D17" s="89"/>
      <c r="E17" s="117"/>
      <c r="F17" s="117"/>
      <c r="G17" s="89"/>
      <c r="H17" s="89"/>
      <c r="I17" s="89"/>
      <c r="J17" s="92">
        <v>1815992</v>
      </c>
      <c r="K17" s="92">
        <f>J17</f>
        <v>1815992</v>
      </c>
      <c r="L17" s="92">
        <v>0</v>
      </c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2"/>
      <c r="AI17" s="92"/>
      <c r="AJ17" s="92"/>
      <c r="AK17" s="89"/>
      <c r="AL17" s="89"/>
      <c r="AM17" s="89"/>
      <c r="AN17" s="89"/>
      <c r="AO17" s="89"/>
      <c r="AP17" s="89"/>
      <c r="AQ17" s="7">
        <f t="shared" si="0"/>
        <v>1815992</v>
      </c>
      <c r="AR17" s="7">
        <f t="shared" si="1"/>
        <v>1815992</v>
      </c>
      <c r="AS17" s="7">
        <f t="shared" si="1"/>
        <v>0</v>
      </c>
      <c r="AT17" s="8"/>
      <c r="AU17" s="8"/>
      <c r="AV17" s="8"/>
      <c r="AW17" s="8">
        <f t="shared" si="2"/>
        <v>1815992</v>
      </c>
      <c r="AX17" s="133">
        <f t="shared" si="3"/>
        <v>1815992</v>
      </c>
      <c r="AY17" s="133">
        <f t="shared" si="3"/>
        <v>0</v>
      </c>
    </row>
    <row r="18" spans="1:51" x14ac:dyDescent="0.25">
      <c r="A18" s="11" t="s">
        <v>130</v>
      </c>
      <c r="B18" s="5" t="s">
        <v>76</v>
      </c>
      <c r="C18" s="37" t="s">
        <v>405</v>
      </c>
      <c r="D18" s="89"/>
      <c r="E18" s="117"/>
      <c r="F18" s="117"/>
      <c r="G18" s="89"/>
      <c r="H18" s="89"/>
      <c r="I18" s="89"/>
      <c r="J18" s="92">
        <v>30000</v>
      </c>
      <c r="K18" s="92">
        <f>J18</f>
        <v>30000</v>
      </c>
      <c r="L18" s="92">
        <v>0</v>
      </c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2"/>
      <c r="AI18" s="92"/>
      <c r="AJ18" s="92"/>
      <c r="AK18" s="89"/>
      <c r="AL18" s="89"/>
      <c r="AM18" s="89"/>
      <c r="AN18" s="89"/>
      <c r="AO18" s="89"/>
      <c r="AP18" s="89"/>
      <c r="AQ18" s="7">
        <f t="shared" si="0"/>
        <v>30000</v>
      </c>
      <c r="AR18" s="7">
        <f t="shared" si="1"/>
        <v>30000</v>
      </c>
      <c r="AS18" s="7">
        <f t="shared" si="1"/>
        <v>0</v>
      </c>
      <c r="AT18" s="8"/>
      <c r="AU18" s="8"/>
      <c r="AV18" s="8"/>
      <c r="AW18" s="8">
        <f t="shared" si="2"/>
        <v>30000</v>
      </c>
      <c r="AX18" s="133">
        <f t="shared" si="3"/>
        <v>30000</v>
      </c>
      <c r="AY18" s="64">
        <f t="shared" si="3"/>
        <v>0</v>
      </c>
    </row>
    <row r="19" spans="1:51" ht="25.5" x14ac:dyDescent="0.25">
      <c r="A19" s="11" t="s">
        <v>131</v>
      </c>
      <c r="B19" s="5" t="s">
        <v>76</v>
      </c>
      <c r="C19" s="37" t="s">
        <v>194</v>
      </c>
      <c r="D19" s="89"/>
      <c r="E19" s="117"/>
      <c r="F19" s="117"/>
      <c r="G19" s="89"/>
      <c r="H19" s="89"/>
      <c r="I19" s="89"/>
      <c r="J19" s="92"/>
      <c r="K19" s="92"/>
      <c r="L19" s="92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>
        <v>1935000000</v>
      </c>
      <c r="AF19" s="89">
        <v>1935000000</v>
      </c>
      <c r="AG19" s="89">
        <v>0</v>
      </c>
      <c r="AH19" s="92"/>
      <c r="AI19" s="92"/>
      <c r="AJ19" s="92"/>
      <c r="AK19" s="89"/>
      <c r="AL19" s="89"/>
      <c r="AM19" s="89"/>
      <c r="AN19" s="89"/>
      <c r="AO19" s="89"/>
      <c r="AP19" s="89"/>
      <c r="AQ19" s="7">
        <f t="shared" si="0"/>
        <v>1935000000</v>
      </c>
      <c r="AR19" s="7">
        <f t="shared" si="1"/>
        <v>1935000000</v>
      </c>
      <c r="AS19" s="7">
        <f t="shared" si="1"/>
        <v>0</v>
      </c>
      <c r="AT19" s="8"/>
      <c r="AU19" s="8"/>
      <c r="AV19" s="8"/>
      <c r="AW19" s="8">
        <f t="shared" si="2"/>
        <v>1935000000</v>
      </c>
      <c r="AX19" s="133">
        <f t="shared" si="3"/>
        <v>1935000000</v>
      </c>
      <c r="AY19" s="133">
        <f t="shared" si="3"/>
        <v>0</v>
      </c>
    </row>
    <row r="20" spans="1:51" x14ac:dyDescent="0.25">
      <c r="A20" s="11" t="s">
        <v>133</v>
      </c>
      <c r="B20" s="5" t="s">
        <v>77</v>
      </c>
      <c r="C20" s="37" t="s">
        <v>352</v>
      </c>
      <c r="D20" s="89"/>
      <c r="E20" s="117"/>
      <c r="F20" s="117"/>
      <c r="G20" s="89"/>
      <c r="H20" s="89"/>
      <c r="I20" s="89"/>
      <c r="J20" s="92"/>
      <c r="K20" s="92"/>
      <c r="L20" s="92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>
        <v>20653836</v>
      </c>
      <c r="AF20" s="89">
        <f>AE20</f>
        <v>20653836</v>
      </c>
      <c r="AG20" s="89">
        <v>5899026</v>
      </c>
      <c r="AH20" s="92"/>
      <c r="AI20" s="92"/>
      <c r="AJ20" s="92"/>
      <c r="AK20" s="89"/>
      <c r="AL20" s="89"/>
      <c r="AM20" s="89"/>
      <c r="AN20" s="89"/>
      <c r="AO20" s="89"/>
      <c r="AP20" s="89"/>
      <c r="AQ20" s="7">
        <f t="shared" si="0"/>
        <v>20653836</v>
      </c>
      <c r="AR20" s="7">
        <f t="shared" si="1"/>
        <v>20653836</v>
      </c>
      <c r="AS20" s="7">
        <f t="shared" si="1"/>
        <v>5899026</v>
      </c>
      <c r="AT20" s="8"/>
      <c r="AU20" s="8"/>
      <c r="AV20" s="8"/>
      <c r="AW20" s="8">
        <f t="shared" si="2"/>
        <v>20653836</v>
      </c>
      <c r="AX20" s="133">
        <f t="shared" si="3"/>
        <v>20653836</v>
      </c>
      <c r="AY20" s="133">
        <f t="shared" si="3"/>
        <v>5899026</v>
      </c>
    </row>
    <row r="21" spans="1:51" x14ac:dyDescent="0.25">
      <c r="A21" s="11"/>
      <c r="B21" s="5" t="s">
        <v>76</v>
      </c>
      <c r="C21" s="37" t="s">
        <v>240</v>
      </c>
      <c r="D21" s="89"/>
      <c r="E21" s="117"/>
      <c r="F21" s="117"/>
      <c r="G21" s="89"/>
      <c r="H21" s="89"/>
      <c r="I21" s="89"/>
      <c r="J21" s="92">
        <v>932005</v>
      </c>
      <c r="K21" s="92">
        <f>J21</f>
        <v>932005</v>
      </c>
      <c r="L21" s="92">
        <v>98828</v>
      </c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92"/>
      <c r="AI21" s="92"/>
      <c r="AJ21" s="92"/>
      <c r="AK21" s="89"/>
      <c r="AL21" s="89"/>
      <c r="AM21" s="89"/>
      <c r="AN21" s="89"/>
      <c r="AO21" s="89"/>
      <c r="AP21" s="89"/>
      <c r="AQ21" s="7">
        <f t="shared" si="0"/>
        <v>932005</v>
      </c>
      <c r="AR21" s="7">
        <f t="shared" si="1"/>
        <v>932005</v>
      </c>
      <c r="AS21" s="7">
        <f t="shared" si="1"/>
        <v>98828</v>
      </c>
      <c r="AT21" s="8"/>
      <c r="AU21" s="8"/>
      <c r="AV21" s="8"/>
      <c r="AW21" s="8">
        <f t="shared" si="2"/>
        <v>932005</v>
      </c>
      <c r="AX21" s="133">
        <f t="shared" si="3"/>
        <v>932005</v>
      </c>
      <c r="AY21" s="133">
        <f t="shared" si="3"/>
        <v>98828</v>
      </c>
    </row>
    <row r="22" spans="1:51" x14ac:dyDescent="0.25">
      <c r="A22" s="11" t="s">
        <v>140</v>
      </c>
      <c r="B22" s="5" t="s">
        <v>76</v>
      </c>
      <c r="C22" s="37" t="s">
        <v>195</v>
      </c>
      <c r="D22" s="89"/>
      <c r="E22" s="117"/>
      <c r="F22" s="117"/>
      <c r="G22" s="89"/>
      <c r="H22" s="89"/>
      <c r="I22" s="89"/>
      <c r="J22" s="92">
        <v>30933902</v>
      </c>
      <c r="K22" s="92">
        <f>J22</f>
        <v>30933902</v>
      </c>
      <c r="L22" s="92">
        <v>7341474</v>
      </c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92"/>
      <c r="AI22" s="92"/>
      <c r="AJ22" s="92"/>
      <c r="AK22" s="89"/>
      <c r="AL22" s="89"/>
      <c r="AM22" s="89"/>
      <c r="AN22" s="89"/>
      <c r="AO22" s="89"/>
      <c r="AP22" s="89"/>
      <c r="AQ22" s="7">
        <f t="shared" si="0"/>
        <v>30933902</v>
      </c>
      <c r="AR22" s="7">
        <f t="shared" si="1"/>
        <v>30933902</v>
      </c>
      <c r="AS22" s="7">
        <f t="shared" si="1"/>
        <v>7341474</v>
      </c>
      <c r="AT22" s="8"/>
      <c r="AU22" s="8"/>
      <c r="AV22" s="8"/>
      <c r="AW22" s="8">
        <f t="shared" si="2"/>
        <v>30933902</v>
      </c>
      <c r="AX22" s="133">
        <f t="shared" si="3"/>
        <v>30933902</v>
      </c>
      <c r="AY22" s="64">
        <f t="shared" si="3"/>
        <v>7341474</v>
      </c>
    </row>
    <row r="23" spans="1:51" x14ac:dyDescent="0.25">
      <c r="A23" s="11" t="s">
        <v>141</v>
      </c>
      <c r="B23" s="5" t="s">
        <v>77</v>
      </c>
      <c r="C23" s="37" t="s">
        <v>212</v>
      </c>
      <c r="D23" s="89"/>
      <c r="E23" s="117"/>
      <c r="F23" s="117"/>
      <c r="G23" s="89"/>
      <c r="H23" s="89"/>
      <c r="I23" s="89"/>
      <c r="J23" s="92">
        <v>2718143</v>
      </c>
      <c r="K23" s="92">
        <f>J23</f>
        <v>2718143</v>
      </c>
      <c r="L23" s="92">
        <v>821432</v>
      </c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92"/>
      <c r="AI23" s="92"/>
      <c r="AJ23" s="92"/>
      <c r="AK23" s="89"/>
      <c r="AL23" s="89"/>
      <c r="AM23" s="89"/>
      <c r="AN23" s="89"/>
      <c r="AO23" s="89"/>
      <c r="AP23" s="89"/>
      <c r="AQ23" s="7">
        <f t="shared" si="0"/>
        <v>2718143</v>
      </c>
      <c r="AR23" s="7">
        <f t="shared" si="1"/>
        <v>2718143</v>
      </c>
      <c r="AS23" s="7">
        <f t="shared" si="1"/>
        <v>821432</v>
      </c>
      <c r="AT23" s="8"/>
      <c r="AU23" s="8"/>
      <c r="AV23" s="8"/>
      <c r="AW23" s="8">
        <f t="shared" si="2"/>
        <v>2718143</v>
      </c>
      <c r="AX23" s="133">
        <f t="shared" si="3"/>
        <v>2718143</v>
      </c>
      <c r="AY23" s="64">
        <f t="shared" si="3"/>
        <v>821432</v>
      </c>
    </row>
    <row r="24" spans="1:51" ht="21.75" customHeight="1" x14ac:dyDescent="0.25">
      <c r="A24" s="11" t="s">
        <v>142</v>
      </c>
      <c r="B24" s="5" t="s">
        <v>76</v>
      </c>
      <c r="C24" s="37" t="s">
        <v>196</v>
      </c>
      <c r="D24" s="89">
        <v>9250000</v>
      </c>
      <c r="E24" s="117">
        <f>D24</f>
        <v>9250000</v>
      </c>
      <c r="F24" s="117">
        <v>4277186</v>
      </c>
      <c r="G24" s="89">
        <v>1202500</v>
      </c>
      <c r="H24" s="89">
        <f>G24</f>
        <v>1202500</v>
      </c>
      <c r="I24" s="89">
        <v>471230</v>
      </c>
      <c r="J24" s="92">
        <v>47108682</v>
      </c>
      <c r="K24" s="83">
        <f>J24+466585</f>
        <v>47575267</v>
      </c>
      <c r="L24" s="83">
        <v>25912806</v>
      </c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>
        <v>25080</v>
      </c>
      <c r="AE24" s="89">
        <v>11773671</v>
      </c>
      <c r="AF24" s="89">
        <f>AE24</f>
        <v>11773671</v>
      </c>
      <c r="AG24" s="89">
        <v>9813268</v>
      </c>
      <c r="AH24" s="92">
        <v>164068212</v>
      </c>
      <c r="AI24" s="92">
        <v>722066845</v>
      </c>
      <c r="AJ24" s="92">
        <v>0</v>
      </c>
      <c r="AK24" s="89"/>
      <c r="AL24" s="89"/>
      <c r="AM24" s="89"/>
      <c r="AN24" s="89">
        <v>2400000</v>
      </c>
      <c r="AO24" s="89">
        <f>AN24</f>
        <v>2400000</v>
      </c>
      <c r="AP24" s="89">
        <v>1750000</v>
      </c>
      <c r="AQ24" s="7">
        <f t="shared" si="0"/>
        <v>235803065</v>
      </c>
      <c r="AR24" s="7">
        <f t="shared" si="1"/>
        <v>794268283</v>
      </c>
      <c r="AS24" s="7">
        <f t="shared" si="1"/>
        <v>42249570</v>
      </c>
      <c r="AT24" s="8"/>
      <c r="AU24" s="8"/>
      <c r="AV24" s="8"/>
      <c r="AW24" s="8">
        <f t="shared" si="2"/>
        <v>235803065</v>
      </c>
      <c r="AX24" s="133">
        <f t="shared" si="3"/>
        <v>794268283</v>
      </c>
      <c r="AY24" s="133">
        <f t="shared" si="3"/>
        <v>42249570</v>
      </c>
    </row>
    <row r="25" spans="1:51" x14ac:dyDescent="0.25">
      <c r="A25" s="11" t="s">
        <v>144</v>
      </c>
      <c r="B25" s="5" t="s">
        <v>76</v>
      </c>
      <c r="C25" s="6" t="s">
        <v>197</v>
      </c>
      <c r="D25" s="89"/>
      <c r="E25" s="117"/>
      <c r="F25" s="117"/>
      <c r="G25" s="89"/>
      <c r="H25" s="89"/>
      <c r="I25" s="89"/>
      <c r="J25" s="92">
        <v>4782208</v>
      </c>
      <c r="K25" s="92">
        <f>J25</f>
        <v>4782208</v>
      </c>
      <c r="L25" s="92">
        <v>3509962</v>
      </c>
      <c r="M25" s="92"/>
      <c r="N25" s="92"/>
      <c r="O25" s="92"/>
      <c r="P25" s="92"/>
      <c r="Q25" s="92"/>
      <c r="R25" s="92"/>
      <c r="S25" s="92"/>
      <c r="T25" s="92"/>
      <c r="U25" s="92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7">
        <f t="shared" si="0"/>
        <v>4782208</v>
      </c>
      <c r="AR25" s="7">
        <f t="shared" si="1"/>
        <v>4782208</v>
      </c>
      <c r="AS25" s="7">
        <f t="shared" si="1"/>
        <v>3509962</v>
      </c>
      <c r="AT25" s="8"/>
      <c r="AU25" s="8"/>
      <c r="AV25" s="8"/>
      <c r="AW25" s="8">
        <f t="shared" si="2"/>
        <v>4782208</v>
      </c>
      <c r="AX25" s="133">
        <f t="shared" si="3"/>
        <v>4782208</v>
      </c>
      <c r="AY25" s="133">
        <f t="shared" si="3"/>
        <v>3509962</v>
      </c>
    </row>
    <row r="26" spans="1:51" x14ac:dyDescent="0.25">
      <c r="A26" s="11" t="s">
        <v>145</v>
      </c>
      <c r="B26" s="5" t="s">
        <v>76</v>
      </c>
      <c r="C26" s="6" t="s">
        <v>213</v>
      </c>
      <c r="D26" s="89">
        <v>1908400</v>
      </c>
      <c r="E26" s="117">
        <f>D26</f>
        <v>1908400</v>
      </c>
      <c r="F26" s="117">
        <v>826261</v>
      </c>
      <c r="G26" s="89">
        <v>248092</v>
      </c>
      <c r="H26" s="89">
        <f>G26</f>
        <v>248092</v>
      </c>
      <c r="I26" s="89">
        <v>112727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7">
        <f t="shared" si="0"/>
        <v>2156492</v>
      </c>
      <c r="AR26" s="7">
        <f t="shared" si="1"/>
        <v>2156492</v>
      </c>
      <c r="AS26" s="7">
        <f t="shared" si="1"/>
        <v>938988</v>
      </c>
      <c r="AT26" s="8"/>
      <c r="AU26" s="8"/>
      <c r="AV26" s="8"/>
      <c r="AW26" s="8">
        <f t="shared" si="2"/>
        <v>2156492</v>
      </c>
      <c r="AX26" s="133">
        <f t="shared" si="3"/>
        <v>2156492</v>
      </c>
      <c r="AY26" s="133">
        <f t="shared" si="3"/>
        <v>938988</v>
      </c>
    </row>
    <row r="27" spans="1:51" x14ac:dyDescent="0.25">
      <c r="A27" s="11" t="s">
        <v>146</v>
      </c>
      <c r="B27" s="5" t="s">
        <v>76</v>
      </c>
      <c r="C27" s="6" t="s">
        <v>214</v>
      </c>
      <c r="D27" s="89">
        <v>8039192</v>
      </c>
      <c r="E27" s="117">
        <f>D27</f>
        <v>8039192</v>
      </c>
      <c r="F27" s="117">
        <v>6919836</v>
      </c>
      <c r="G27" s="89">
        <v>1036432</v>
      </c>
      <c r="H27" s="89">
        <f>G27</f>
        <v>1036432</v>
      </c>
      <c r="I27" s="89">
        <v>888372</v>
      </c>
      <c r="J27" s="92">
        <v>2164838</v>
      </c>
      <c r="K27" s="92">
        <v>2234838</v>
      </c>
      <c r="L27" s="92">
        <v>1157060</v>
      </c>
      <c r="M27" s="92"/>
      <c r="N27" s="92"/>
      <c r="O27" s="92"/>
      <c r="P27" s="92"/>
      <c r="Q27" s="92"/>
      <c r="R27" s="92"/>
      <c r="S27" s="92"/>
      <c r="T27" s="92"/>
      <c r="U27" s="92"/>
      <c r="V27" s="89"/>
      <c r="W27" s="89"/>
      <c r="X27" s="89"/>
      <c r="Y27" s="89"/>
      <c r="Z27" s="89"/>
      <c r="AA27" s="89"/>
      <c r="AB27" s="89"/>
      <c r="AC27" s="89"/>
      <c r="AD27" s="89">
        <v>51131</v>
      </c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7">
        <f t="shared" si="0"/>
        <v>11240462</v>
      </c>
      <c r="AR27" s="7">
        <f t="shared" si="1"/>
        <v>11310462</v>
      </c>
      <c r="AS27" s="7">
        <f t="shared" si="1"/>
        <v>9016399</v>
      </c>
      <c r="AT27" s="8"/>
      <c r="AU27" s="8"/>
      <c r="AV27" s="8"/>
      <c r="AW27" s="8">
        <f t="shared" si="2"/>
        <v>11240462</v>
      </c>
      <c r="AX27" s="133">
        <f t="shared" si="3"/>
        <v>11310462</v>
      </c>
      <c r="AY27" s="133">
        <f t="shared" si="3"/>
        <v>9016399</v>
      </c>
    </row>
    <row r="28" spans="1:51" x14ac:dyDescent="0.25">
      <c r="A28" s="11" t="s">
        <v>147</v>
      </c>
      <c r="B28" s="5" t="s">
        <v>76</v>
      </c>
      <c r="C28" s="6" t="s">
        <v>215</v>
      </c>
      <c r="D28" s="89"/>
      <c r="E28" s="117"/>
      <c r="F28" s="117"/>
      <c r="G28" s="89"/>
      <c r="H28" s="89"/>
      <c r="I28" s="89"/>
      <c r="J28" s="92"/>
      <c r="K28" s="92">
        <v>30000</v>
      </c>
      <c r="L28" s="92"/>
      <c r="M28" s="92"/>
      <c r="N28" s="92"/>
      <c r="O28" s="92"/>
      <c r="P28" s="92">
        <v>220800</v>
      </c>
      <c r="Q28" s="92">
        <v>220800</v>
      </c>
      <c r="R28" s="92">
        <v>114000</v>
      </c>
      <c r="S28" s="92"/>
      <c r="T28" s="92"/>
      <c r="U28" s="92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7">
        <f t="shared" si="0"/>
        <v>220800</v>
      </c>
      <c r="AR28" s="7">
        <f t="shared" si="1"/>
        <v>250800</v>
      </c>
      <c r="AS28" s="7">
        <f t="shared" si="1"/>
        <v>114000</v>
      </c>
      <c r="AT28" s="8"/>
      <c r="AU28" s="8"/>
      <c r="AV28" s="8"/>
      <c r="AW28" s="8">
        <f t="shared" si="2"/>
        <v>220800</v>
      </c>
      <c r="AX28" s="133">
        <f t="shared" si="3"/>
        <v>250800</v>
      </c>
      <c r="AY28" s="133">
        <f t="shared" si="3"/>
        <v>114000</v>
      </c>
    </row>
    <row r="29" spans="1:51" x14ac:dyDescent="0.25">
      <c r="A29" s="11" t="s">
        <v>148</v>
      </c>
      <c r="B29" s="5" t="s">
        <v>77</v>
      </c>
      <c r="C29" s="6" t="s">
        <v>216</v>
      </c>
      <c r="D29" s="89">
        <f>180000+240000</f>
        <v>420000</v>
      </c>
      <c r="E29" s="117">
        <v>420000</v>
      </c>
      <c r="F29" s="117">
        <v>0</v>
      </c>
      <c r="G29" s="89"/>
      <c r="H29" s="89"/>
      <c r="I29" s="89"/>
      <c r="J29" s="92">
        <v>382562</v>
      </c>
      <c r="K29" s="92">
        <v>382562</v>
      </c>
      <c r="L29" s="92">
        <v>417948</v>
      </c>
      <c r="M29" s="92"/>
      <c r="N29" s="92"/>
      <c r="O29" s="92"/>
      <c r="P29" s="92"/>
      <c r="Q29" s="92"/>
      <c r="R29" s="92"/>
      <c r="S29" s="92"/>
      <c r="T29" s="92"/>
      <c r="U29" s="92"/>
      <c r="V29" s="89"/>
      <c r="W29" s="89"/>
      <c r="X29" s="89"/>
      <c r="Y29" s="89"/>
      <c r="Z29" s="89"/>
      <c r="AA29" s="89"/>
      <c r="AB29" s="89"/>
      <c r="AC29" s="89"/>
      <c r="AD29" s="89">
        <v>301996</v>
      </c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7">
        <f t="shared" si="0"/>
        <v>802562</v>
      </c>
      <c r="AR29" s="7">
        <f t="shared" si="1"/>
        <v>802562</v>
      </c>
      <c r="AS29" s="7">
        <f t="shared" si="1"/>
        <v>719944</v>
      </c>
      <c r="AT29" s="8"/>
      <c r="AU29" s="8"/>
      <c r="AV29" s="8"/>
      <c r="AW29" s="8">
        <f t="shared" si="2"/>
        <v>802562</v>
      </c>
      <c r="AX29" s="133">
        <f t="shared" si="3"/>
        <v>802562</v>
      </c>
      <c r="AY29" s="133">
        <f t="shared" si="3"/>
        <v>719944</v>
      </c>
    </row>
    <row r="30" spans="1:51" x14ac:dyDescent="0.25">
      <c r="A30" s="11"/>
      <c r="B30" s="5" t="s">
        <v>76</v>
      </c>
      <c r="C30" s="6" t="s">
        <v>406</v>
      </c>
      <c r="D30" s="89"/>
      <c r="E30" s="117"/>
      <c r="F30" s="117"/>
      <c r="G30" s="89"/>
      <c r="H30" s="89"/>
      <c r="I30" s="89"/>
      <c r="J30" s="92"/>
      <c r="K30" s="92"/>
      <c r="L30" s="92"/>
      <c r="M30" s="92"/>
      <c r="N30" s="92"/>
      <c r="O30" s="92"/>
      <c r="P30" s="92">
        <v>2099252</v>
      </c>
      <c r="Q30" s="92">
        <f>P30</f>
        <v>2099252</v>
      </c>
      <c r="R30" s="92">
        <v>840000</v>
      </c>
      <c r="S30" s="92"/>
      <c r="T30" s="92"/>
      <c r="U30" s="92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7">
        <f t="shared" si="0"/>
        <v>2099252</v>
      </c>
      <c r="AR30" s="7">
        <f t="shared" si="1"/>
        <v>2099252</v>
      </c>
      <c r="AS30" s="7">
        <f t="shared" si="1"/>
        <v>840000</v>
      </c>
      <c r="AT30" s="8"/>
      <c r="AU30" s="8"/>
      <c r="AV30" s="8"/>
      <c r="AW30" s="8">
        <f>AQ30+AT30</f>
        <v>2099252</v>
      </c>
      <c r="AX30" s="133">
        <f t="shared" si="3"/>
        <v>2099252</v>
      </c>
      <c r="AY30" s="133">
        <f t="shared" si="3"/>
        <v>840000</v>
      </c>
    </row>
    <row r="31" spans="1:51" x14ac:dyDescent="0.25">
      <c r="A31" s="11" t="s">
        <v>149</v>
      </c>
      <c r="B31" s="5" t="s">
        <v>76</v>
      </c>
      <c r="C31" s="6" t="s">
        <v>218</v>
      </c>
      <c r="D31" s="89"/>
      <c r="E31" s="117"/>
      <c r="F31" s="117"/>
      <c r="G31" s="89"/>
      <c r="H31" s="89"/>
      <c r="I31" s="89"/>
      <c r="J31" s="92"/>
      <c r="K31" s="92"/>
      <c r="L31" s="92">
        <v>230000</v>
      </c>
      <c r="M31" s="92"/>
      <c r="N31" s="92"/>
      <c r="O31" s="92"/>
      <c r="P31" s="92">
        <v>22907369</v>
      </c>
      <c r="Q31" s="92">
        <f>P31</f>
        <v>22907369</v>
      </c>
      <c r="R31" s="92">
        <v>14748567</v>
      </c>
      <c r="S31" s="92"/>
      <c r="T31" s="92"/>
      <c r="U31" s="92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7">
        <f t="shared" si="0"/>
        <v>22907369</v>
      </c>
      <c r="AR31" s="7">
        <f t="shared" si="1"/>
        <v>22907369</v>
      </c>
      <c r="AS31" s="7">
        <v>14978567</v>
      </c>
      <c r="AT31" s="8"/>
      <c r="AU31" s="8"/>
      <c r="AV31" s="8"/>
      <c r="AW31" s="8">
        <f t="shared" si="2"/>
        <v>22907369</v>
      </c>
      <c r="AX31" s="133">
        <f t="shared" si="3"/>
        <v>22907369</v>
      </c>
      <c r="AY31" s="133">
        <f t="shared" si="3"/>
        <v>14978567</v>
      </c>
    </row>
    <row r="32" spans="1:51" x14ac:dyDescent="0.25">
      <c r="A32" s="11" t="s">
        <v>150</v>
      </c>
      <c r="B32" s="5" t="s">
        <v>77</v>
      </c>
      <c r="C32" s="6" t="s">
        <v>217</v>
      </c>
      <c r="D32" s="89"/>
      <c r="E32" s="117"/>
      <c r="F32" s="117"/>
      <c r="G32" s="89"/>
      <c r="H32" s="89"/>
      <c r="I32" s="8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7">
        <f t="shared" si="0"/>
        <v>0</v>
      </c>
      <c r="AR32" s="7">
        <f t="shared" si="1"/>
        <v>0</v>
      </c>
      <c r="AS32" s="7">
        <f t="shared" si="1"/>
        <v>0</v>
      </c>
      <c r="AT32" s="8"/>
      <c r="AU32" s="8"/>
      <c r="AV32" s="8"/>
      <c r="AW32" s="8">
        <f t="shared" si="2"/>
        <v>0</v>
      </c>
      <c r="AX32" s="133">
        <f t="shared" si="3"/>
        <v>0</v>
      </c>
      <c r="AY32" s="133">
        <f t="shared" si="3"/>
        <v>0</v>
      </c>
    </row>
    <row r="33" spans="1:51" x14ac:dyDescent="0.25">
      <c r="A33" s="11" t="s">
        <v>151</v>
      </c>
      <c r="B33" s="5" t="s">
        <v>76</v>
      </c>
      <c r="C33" s="6" t="s">
        <v>198</v>
      </c>
      <c r="D33" s="89"/>
      <c r="E33" s="117"/>
      <c r="F33" s="117"/>
      <c r="G33" s="89"/>
      <c r="H33" s="89"/>
      <c r="I33" s="89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7">
        <f t="shared" si="0"/>
        <v>0</v>
      </c>
      <c r="AR33" s="7">
        <f t="shared" si="1"/>
        <v>0</v>
      </c>
      <c r="AS33" s="7">
        <f t="shared" si="1"/>
        <v>0</v>
      </c>
      <c r="AT33" s="8"/>
      <c r="AU33" s="8"/>
      <c r="AV33" s="8"/>
      <c r="AW33" s="8">
        <f t="shared" si="2"/>
        <v>0</v>
      </c>
      <c r="AX33" s="133">
        <f t="shared" si="3"/>
        <v>0</v>
      </c>
      <c r="AY33" s="133">
        <f t="shared" si="3"/>
        <v>0</v>
      </c>
    </row>
    <row r="34" spans="1:51" x14ac:dyDescent="0.25">
      <c r="A34" s="11" t="s">
        <v>152</v>
      </c>
      <c r="B34" s="5" t="s">
        <v>76</v>
      </c>
      <c r="C34" s="6" t="s">
        <v>199</v>
      </c>
      <c r="D34" s="89"/>
      <c r="E34" s="117"/>
      <c r="F34" s="117"/>
      <c r="G34" s="89"/>
      <c r="H34" s="89"/>
      <c r="I34" s="89"/>
      <c r="J34" s="92">
        <v>43782791</v>
      </c>
      <c r="K34" s="92">
        <f>J34</f>
        <v>43782791</v>
      </c>
      <c r="L34" s="92">
        <v>20344117</v>
      </c>
      <c r="M34" s="92"/>
      <c r="N34" s="92"/>
      <c r="O34" s="92"/>
      <c r="P34" s="92"/>
      <c r="Q34" s="92"/>
      <c r="R34" s="92"/>
      <c r="S34" s="92"/>
      <c r="T34" s="92"/>
      <c r="U34" s="9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7">
        <f t="shared" si="0"/>
        <v>43782791</v>
      </c>
      <c r="AR34" s="7">
        <f t="shared" si="1"/>
        <v>43782791</v>
      </c>
      <c r="AS34" s="7">
        <f t="shared" si="1"/>
        <v>20344117</v>
      </c>
      <c r="AT34" s="8"/>
      <c r="AU34" s="8"/>
      <c r="AV34" s="8"/>
      <c r="AW34" s="8">
        <f t="shared" si="2"/>
        <v>43782791</v>
      </c>
      <c r="AX34" s="133">
        <f t="shared" si="3"/>
        <v>43782791</v>
      </c>
      <c r="AY34" s="133">
        <f t="shared" si="3"/>
        <v>20344117</v>
      </c>
    </row>
    <row r="35" spans="1:51" x14ac:dyDescent="0.25">
      <c r="A35" s="11" t="s">
        <v>153</v>
      </c>
      <c r="B35" s="5" t="s">
        <v>76</v>
      </c>
      <c r="C35" s="6" t="s">
        <v>221</v>
      </c>
      <c r="D35" s="89"/>
      <c r="E35" s="117"/>
      <c r="F35" s="117"/>
      <c r="G35" s="89"/>
      <c r="H35" s="89"/>
      <c r="I35" s="89"/>
      <c r="J35" s="92">
        <v>527000</v>
      </c>
      <c r="K35" s="92">
        <f>J35</f>
        <v>527000</v>
      </c>
      <c r="L35" s="92">
        <v>3171500</v>
      </c>
      <c r="M35" s="92"/>
      <c r="N35" s="92"/>
      <c r="O35" s="92"/>
      <c r="P35" s="92"/>
      <c r="Q35" s="92"/>
      <c r="R35" s="92"/>
      <c r="S35" s="92"/>
      <c r="T35" s="92"/>
      <c r="U35" s="92"/>
      <c r="V35" s="89"/>
      <c r="W35" s="89"/>
      <c r="X35" s="89"/>
      <c r="Y35" s="89"/>
      <c r="Z35" s="89"/>
      <c r="AA35" s="89"/>
      <c r="AB35" s="89">
        <v>11858730</v>
      </c>
      <c r="AC35" s="89">
        <f>AB35</f>
        <v>11858730</v>
      </c>
      <c r="AD35" s="89">
        <v>9634498</v>
      </c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7">
        <f t="shared" si="0"/>
        <v>12385730</v>
      </c>
      <c r="AR35" s="7">
        <f t="shared" si="1"/>
        <v>12385730</v>
      </c>
      <c r="AS35" s="7">
        <f t="shared" si="1"/>
        <v>12805998</v>
      </c>
      <c r="AT35" s="8"/>
      <c r="AU35" s="8"/>
      <c r="AV35" s="8"/>
      <c r="AW35" s="8">
        <f t="shared" si="2"/>
        <v>12385730</v>
      </c>
      <c r="AX35" s="133">
        <f t="shared" si="3"/>
        <v>12385730</v>
      </c>
      <c r="AY35" s="133">
        <f t="shared" si="3"/>
        <v>12805998</v>
      </c>
    </row>
    <row r="36" spans="1:51" x14ac:dyDescent="0.25">
      <c r="A36" s="11" t="s">
        <v>154</v>
      </c>
      <c r="B36" s="5" t="s">
        <v>76</v>
      </c>
      <c r="C36" s="6" t="s">
        <v>200</v>
      </c>
      <c r="D36" s="89"/>
      <c r="E36" s="117"/>
      <c r="F36" s="117"/>
      <c r="G36" s="89"/>
      <c r="H36" s="89"/>
      <c r="I36" s="89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7">
        <f t="shared" si="0"/>
        <v>0</v>
      </c>
      <c r="AR36" s="7">
        <f t="shared" si="1"/>
        <v>0</v>
      </c>
      <c r="AS36" s="7">
        <f t="shared" si="1"/>
        <v>0</v>
      </c>
      <c r="AT36" s="8"/>
      <c r="AU36" s="8"/>
      <c r="AV36" s="8"/>
      <c r="AW36" s="8">
        <f t="shared" si="2"/>
        <v>0</v>
      </c>
      <c r="AX36" s="133">
        <f t="shared" si="3"/>
        <v>0</v>
      </c>
      <c r="AY36" s="133">
        <f t="shared" si="3"/>
        <v>0</v>
      </c>
    </row>
    <row r="37" spans="1:51" x14ac:dyDescent="0.25">
      <c r="A37" s="11" t="s">
        <v>155</v>
      </c>
      <c r="B37" s="5" t="s">
        <v>76</v>
      </c>
      <c r="C37" s="6" t="s">
        <v>201</v>
      </c>
      <c r="D37" s="89"/>
      <c r="E37" s="117"/>
      <c r="F37" s="117"/>
      <c r="G37" s="89"/>
      <c r="H37" s="89"/>
      <c r="I37" s="89"/>
      <c r="J37" s="92">
        <v>454860</v>
      </c>
      <c r="K37" s="92">
        <f>J37</f>
        <v>454860</v>
      </c>
      <c r="L37" s="92">
        <v>69537</v>
      </c>
      <c r="M37" s="92"/>
      <c r="N37" s="92"/>
      <c r="O37" s="92"/>
      <c r="P37" s="92"/>
      <c r="Q37" s="92"/>
      <c r="R37" s="92"/>
      <c r="S37" s="92"/>
      <c r="T37" s="92"/>
      <c r="U37" s="92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7">
        <f t="shared" si="0"/>
        <v>454860</v>
      </c>
      <c r="AR37" s="7">
        <f t="shared" si="1"/>
        <v>454860</v>
      </c>
      <c r="AS37" s="7">
        <f t="shared" si="1"/>
        <v>69537</v>
      </c>
      <c r="AT37" s="8"/>
      <c r="AU37" s="8"/>
      <c r="AV37" s="8"/>
      <c r="AW37" s="8">
        <f t="shared" si="2"/>
        <v>454860</v>
      </c>
      <c r="AX37" s="133">
        <f t="shared" si="3"/>
        <v>454860</v>
      </c>
      <c r="AY37" s="133">
        <f t="shared" si="3"/>
        <v>69537</v>
      </c>
    </row>
    <row r="38" spans="1:51" x14ac:dyDescent="0.25">
      <c r="A38" s="11" t="s">
        <v>156</v>
      </c>
      <c r="B38" s="5" t="s">
        <v>76</v>
      </c>
      <c r="C38" s="6" t="s">
        <v>202</v>
      </c>
      <c r="D38" s="89"/>
      <c r="E38" s="117"/>
      <c r="F38" s="117"/>
      <c r="G38" s="89"/>
      <c r="H38" s="89"/>
      <c r="I38" s="89"/>
      <c r="J38" s="92">
        <v>206047</v>
      </c>
      <c r="K38" s="92">
        <f>J38</f>
        <v>206047</v>
      </c>
      <c r="L38" s="92">
        <v>13870</v>
      </c>
      <c r="M38" s="92">
        <v>23567530</v>
      </c>
      <c r="N38" s="92">
        <f>M38</f>
        <v>23567530</v>
      </c>
      <c r="O38" s="92">
        <v>7598308</v>
      </c>
      <c r="P38" s="92"/>
      <c r="Q38" s="92"/>
      <c r="R38" s="92"/>
      <c r="S38" s="92"/>
      <c r="T38" s="92"/>
      <c r="U38" s="92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7">
        <f t="shared" si="0"/>
        <v>23773577</v>
      </c>
      <c r="AR38" s="7">
        <f t="shared" si="1"/>
        <v>23773577</v>
      </c>
      <c r="AS38" s="7">
        <f t="shared" si="1"/>
        <v>7612178</v>
      </c>
      <c r="AT38" s="8"/>
      <c r="AU38" s="8"/>
      <c r="AV38" s="8"/>
      <c r="AW38" s="8">
        <f t="shared" si="2"/>
        <v>23773577</v>
      </c>
      <c r="AX38" s="133">
        <f t="shared" si="3"/>
        <v>23773577</v>
      </c>
      <c r="AY38" s="133">
        <f t="shared" si="3"/>
        <v>7612178</v>
      </c>
    </row>
    <row r="39" spans="1:51" x14ac:dyDescent="0.25">
      <c r="A39" s="11" t="s">
        <v>157</v>
      </c>
      <c r="B39" s="5" t="s">
        <v>76</v>
      </c>
      <c r="C39" s="6" t="s">
        <v>203</v>
      </c>
      <c r="D39" s="89"/>
      <c r="E39" s="117"/>
      <c r="F39" s="117"/>
      <c r="G39" s="89"/>
      <c r="H39" s="89"/>
      <c r="I39" s="89"/>
      <c r="J39" s="92"/>
      <c r="K39" s="92"/>
      <c r="L39" s="92"/>
      <c r="M39" s="92"/>
      <c r="N39" s="92"/>
      <c r="O39" s="92"/>
      <c r="P39" s="89"/>
      <c r="Q39" s="89"/>
      <c r="R39" s="89"/>
      <c r="S39" s="89"/>
      <c r="T39" s="89"/>
      <c r="U39" s="89"/>
      <c r="V39" s="92"/>
      <c r="W39" s="92"/>
      <c r="X39" s="92"/>
      <c r="Y39" s="92"/>
      <c r="Z39" s="92"/>
      <c r="AA39" s="92"/>
      <c r="AB39" s="89"/>
      <c r="AC39" s="89"/>
      <c r="AD39" s="89"/>
      <c r="AE39" s="94"/>
      <c r="AF39" s="89"/>
      <c r="AG39" s="89"/>
      <c r="AH39" s="7"/>
      <c r="AI39" s="89"/>
      <c r="AJ39" s="89"/>
      <c r="AK39" s="64"/>
      <c r="AL39" s="89"/>
      <c r="AM39" s="89"/>
      <c r="AN39" s="89"/>
      <c r="AO39" s="89"/>
      <c r="AP39" s="89"/>
      <c r="AQ39" s="7">
        <f t="shared" si="0"/>
        <v>0</v>
      </c>
      <c r="AR39" s="7">
        <f t="shared" si="1"/>
        <v>0</v>
      </c>
      <c r="AS39" s="7">
        <f t="shared" si="1"/>
        <v>0</v>
      </c>
      <c r="AT39" s="8"/>
      <c r="AU39" s="8"/>
      <c r="AV39" s="8"/>
      <c r="AW39" s="8">
        <f t="shared" si="2"/>
        <v>0</v>
      </c>
      <c r="AX39" s="133">
        <f t="shared" si="3"/>
        <v>0</v>
      </c>
      <c r="AY39" s="133">
        <f t="shared" si="3"/>
        <v>0</v>
      </c>
    </row>
    <row r="40" spans="1:51" x14ac:dyDescent="0.25">
      <c r="A40" s="11" t="s">
        <v>158</v>
      </c>
      <c r="B40" s="5" t="s">
        <v>77</v>
      </c>
      <c r="C40" s="6" t="s">
        <v>219</v>
      </c>
      <c r="D40" s="89"/>
      <c r="E40" s="117"/>
      <c r="F40" s="117"/>
      <c r="G40" s="89"/>
      <c r="H40" s="89"/>
      <c r="I40" s="89"/>
      <c r="J40" s="92"/>
      <c r="K40" s="92"/>
      <c r="L40" s="92"/>
      <c r="M40" s="92"/>
      <c r="N40" s="92"/>
      <c r="O40" s="92"/>
      <c r="P40" s="89"/>
      <c r="Q40" s="89"/>
      <c r="R40" s="89"/>
      <c r="S40" s="89"/>
      <c r="T40" s="89"/>
      <c r="U40" s="89"/>
      <c r="V40" s="92"/>
      <c r="W40" s="92"/>
      <c r="X40" s="92"/>
      <c r="Y40" s="92"/>
      <c r="Z40" s="92"/>
      <c r="AA40" s="92"/>
      <c r="AB40" s="89"/>
      <c r="AC40" s="89"/>
      <c r="AD40" s="89"/>
      <c r="AE40" s="94"/>
      <c r="AF40" s="89"/>
      <c r="AG40" s="89"/>
      <c r="AH40" s="7"/>
      <c r="AI40" s="89"/>
      <c r="AJ40" s="89"/>
      <c r="AK40" s="64"/>
      <c r="AL40" s="89"/>
      <c r="AM40" s="89"/>
      <c r="AN40" s="89"/>
      <c r="AO40" s="89"/>
      <c r="AP40" s="89"/>
      <c r="AQ40" s="7">
        <f t="shared" si="0"/>
        <v>0</v>
      </c>
      <c r="AR40" s="7">
        <f t="shared" si="1"/>
        <v>0</v>
      </c>
      <c r="AS40" s="7">
        <f t="shared" si="1"/>
        <v>0</v>
      </c>
      <c r="AT40" s="8"/>
      <c r="AU40" s="8"/>
      <c r="AV40" s="8"/>
      <c r="AW40" s="8">
        <f t="shared" si="2"/>
        <v>0</v>
      </c>
      <c r="AX40" s="133">
        <f t="shared" si="3"/>
        <v>0</v>
      </c>
      <c r="AY40" s="133">
        <f t="shared" si="3"/>
        <v>0</v>
      </c>
    </row>
    <row r="41" spans="1:51" x14ac:dyDescent="0.25">
      <c r="A41" s="11" t="s">
        <v>159</v>
      </c>
      <c r="B41" s="5" t="s">
        <v>76</v>
      </c>
      <c r="C41" s="6" t="s">
        <v>419</v>
      </c>
      <c r="D41" s="90"/>
      <c r="E41" s="107"/>
      <c r="F41" s="107"/>
      <c r="G41" s="90"/>
      <c r="H41" s="90"/>
      <c r="I41" s="90"/>
      <c r="J41" s="93"/>
      <c r="K41" s="93"/>
      <c r="L41" s="93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89"/>
      <c r="AF41" s="89"/>
      <c r="AG41" s="89"/>
      <c r="AH41" s="89"/>
      <c r="AI41" s="89"/>
      <c r="AJ41" s="89"/>
      <c r="AK41" s="89">
        <v>25341976</v>
      </c>
      <c r="AL41" s="89">
        <f>25692813</f>
        <v>25692813</v>
      </c>
      <c r="AM41" s="89">
        <v>25692813</v>
      </c>
      <c r="AN41" s="89"/>
      <c r="AO41" s="89"/>
      <c r="AP41" s="89"/>
      <c r="AQ41" s="7">
        <f t="shared" si="0"/>
        <v>25341976</v>
      </c>
      <c r="AR41" s="7">
        <f t="shared" si="1"/>
        <v>25692813</v>
      </c>
      <c r="AS41" s="7">
        <f t="shared" si="1"/>
        <v>25692813</v>
      </c>
      <c r="AT41" s="8"/>
      <c r="AU41" s="8"/>
      <c r="AV41" s="8"/>
      <c r="AW41" s="8">
        <f t="shared" si="2"/>
        <v>25341976</v>
      </c>
      <c r="AX41" s="133">
        <f t="shared" si="3"/>
        <v>25692813</v>
      </c>
      <c r="AY41" s="133">
        <f t="shared" si="3"/>
        <v>25692813</v>
      </c>
    </row>
    <row r="42" spans="1:51" x14ac:dyDescent="0.25">
      <c r="A42" s="11" t="s">
        <v>160</v>
      </c>
      <c r="B42" s="5" t="s">
        <v>77</v>
      </c>
      <c r="C42" s="6" t="s">
        <v>204</v>
      </c>
      <c r="D42" s="90"/>
      <c r="E42" s="107"/>
      <c r="F42" s="107"/>
      <c r="G42" s="90"/>
      <c r="H42" s="90"/>
      <c r="I42" s="90"/>
      <c r="J42" s="93"/>
      <c r="K42" s="93"/>
      <c r="L42" s="93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7">
        <f t="shared" si="0"/>
        <v>0</v>
      </c>
      <c r="AR42" s="7">
        <f t="shared" si="1"/>
        <v>0</v>
      </c>
      <c r="AS42" s="7">
        <f t="shared" si="1"/>
        <v>0</v>
      </c>
      <c r="AT42" s="8"/>
      <c r="AU42" s="8"/>
      <c r="AV42" s="8"/>
      <c r="AW42" s="8">
        <f t="shared" si="2"/>
        <v>0</v>
      </c>
      <c r="AX42" s="133">
        <f t="shared" si="3"/>
        <v>0</v>
      </c>
      <c r="AY42" s="133">
        <f t="shared" si="3"/>
        <v>0</v>
      </c>
    </row>
    <row r="43" spans="1:51" ht="15.75" x14ac:dyDescent="0.25">
      <c r="A43" s="11" t="s">
        <v>161</v>
      </c>
      <c r="B43" s="5"/>
      <c r="C43" s="13" t="s">
        <v>91</v>
      </c>
      <c r="D43" s="7">
        <f>SUM(D7:D42)</f>
        <v>126791312</v>
      </c>
      <c r="E43" s="7">
        <f t="shared" ref="E43:AV43" si="4">SUM(E7:E42)</f>
        <v>128680475</v>
      </c>
      <c r="F43" s="7">
        <f t="shared" si="4"/>
        <v>62404679</v>
      </c>
      <c r="G43" s="7">
        <f t="shared" si="4"/>
        <v>10626096</v>
      </c>
      <c r="H43" s="7">
        <f t="shared" si="4"/>
        <v>10626096</v>
      </c>
      <c r="I43" s="7">
        <f t="shared" si="4"/>
        <v>5693584</v>
      </c>
      <c r="J43" s="7">
        <f t="shared" si="4"/>
        <v>225169294</v>
      </c>
      <c r="K43" s="7">
        <f t="shared" si="4"/>
        <v>225735879</v>
      </c>
      <c r="L43" s="7">
        <f t="shared" si="4"/>
        <v>98332518</v>
      </c>
      <c r="M43" s="7">
        <f t="shared" si="4"/>
        <v>23567530</v>
      </c>
      <c r="N43" s="7">
        <f t="shared" si="4"/>
        <v>23567530</v>
      </c>
      <c r="O43" s="7">
        <f t="shared" si="4"/>
        <v>7598308</v>
      </c>
      <c r="P43" s="7">
        <f t="shared" si="4"/>
        <v>28527421</v>
      </c>
      <c r="Q43" s="7">
        <f t="shared" si="4"/>
        <v>28527421</v>
      </c>
      <c r="R43" s="7">
        <f t="shared" si="4"/>
        <v>16552567</v>
      </c>
      <c r="S43" s="7">
        <f t="shared" si="4"/>
        <v>7767900</v>
      </c>
      <c r="T43" s="7">
        <f t="shared" si="4"/>
        <v>15387325</v>
      </c>
      <c r="U43" s="7">
        <f t="shared" si="4"/>
        <v>10986955</v>
      </c>
      <c r="V43" s="7">
        <f t="shared" si="4"/>
        <v>0</v>
      </c>
      <c r="W43" s="7">
        <f t="shared" si="4"/>
        <v>0</v>
      </c>
      <c r="X43" s="7">
        <f t="shared" si="4"/>
        <v>0</v>
      </c>
      <c r="Y43" s="7">
        <f t="shared" si="4"/>
        <v>0</v>
      </c>
      <c r="Z43" s="7">
        <f t="shared" si="4"/>
        <v>5730105</v>
      </c>
      <c r="AA43" s="7">
        <f t="shared" si="4"/>
        <v>5730105</v>
      </c>
      <c r="AB43" s="7">
        <f t="shared" si="4"/>
        <v>128195438</v>
      </c>
      <c r="AC43" s="7">
        <f t="shared" si="4"/>
        <v>129465438</v>
      </c>
      <c r="AD43" s="7">
        <f t="shared" si="4"/>
        <v>66945943</v>
      </c>
      <c r="AE43" s="367">
        <f t="shared" si="4"/>
        <v>1967427507</v>
      </c>
      <c r="AF43" s="7">
        <f t="shared" si="4"/>
        <v>1967427507</v>
      </c>
      <c r="AG43" s="7">
        <f t="shared" si="4"/>
        <v>86150016</v>
      </c>
      <c r="AH43" s="7">
        <f t="shared" si="4"/>
        <v>164068212</v>
      </c>
      <c r="AI43" s="339">
        <f t="shared" si="4"/>
        <v>722066845</v>
      </c>
      <c r="AJ43" s="339">
        <f t="shared" si="4"/>
        <v>0</v>
      </c>
      <c r="AK43" s="7">
        <f t="shared" si="4"/>
        <v>25341976</v>
      </c>
      <c r="AL43" s="7">
        <f t="shared" si="4"/>
        <v>25692813</v>
      </c>
      <c r="AM43" s="7">
        <f t="shared" si="4"/>
        <v>25692813</v>
      </c>
      <c r="AN43" s="7">
        <f t="shared" si="4"/>
        <v>2400000</v>
      </c>
      <c r="AO43" s="7">
        <f t="shared" si="4"/>
        <v>2400000</v>
      </c>
      <c r="AP43" s="7">
        <f t="shared" si="4"/>
        <v>1750000</v>
      </c>
      <c r="AQ43" s="7">
        <f>D43+G43+J43+M43+P43+S43+V43+Y43+AB43+AE43+AH43+AK43+AN43</f>
        <v>2709882686</v>
      </c>
      <c r="AR43" s="7">
        <f t="shared" si="4"/>
        <v>3285307434</v>
      </c>
      <c r="AS43" s="7">
        <f t="shared" si="4"/>
        <v>387837488</v>
      </c>
      <c r="AT43" s="7">
        <f t="shared" ca="1" si="4"/>
        <v>562457489</v>
      </c>
      <c r="AU43" s="7">
        <f t="shared" si="4"/>
        <v>586161901</v>
      </c>
      <c r="AV43" s="7">
        <f t="shared" si="4"/>
        <v>275730266</v>
      </c>
      <c r="AW43" s="8">
        <f t="shared" ref="AW43" ca="1" si="5">AQ43+AT43</f>
        <v>3272340175</v>
      </c>
      <c r="AX43" s="339">
        <f>SUM(AX7:AX42)</f>
        <v>3871469335</v>
      </c>
      <c r="AY43" s="339">
        <f>SUM(AY7:AY42)</f>
        <v>663567754</v>
      </c>
    </row>
    <row r="44" spans="1:51" ht="15.75" x14ac:dyDescent="0.25">
      <c r="A44" s="11" t="s">
        <v>162</v>
      </c>
      <c r="B44" s="5"/>
      <c r="C44" s="13" t="s">
        <v>121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34"/>
      <c r="AY44" s="64"/>
    </row>
    <row r="45" spans="1:51" ht="15.75" x14ac:dyDescent="0.25">
      <c r="A45" s="11" t="s">
        <v>163</v>
      </c>
      <c r="B45" s="11"/>
      <c r="C45" s="40" t="s">
        <v>122</v>
      </c>
      <c r="D45" s="66">
        <v>1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4"/>
    </row>
    <row r="46" spans="1:51" ht="15.75" x14ac:dyDescent="0.25">
      <c r="A46" s="11" t="s">
        <v>164</v>
      </c>
      <c r="B46" s="11"/>
      <c r="C46" s="40" t="s">
        <v>123</v>
      </c>
      <c r="D46" s="66">
        <v>6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6"/>
    </row>
    <row r="47" spans="1:51" ht="15.75" x14ac:dyDescent="0.25">
      <c r="A47" s="11" t="s">
        <v>165</v>
      </c>
      <c r="B47" s="11"/>
      <c r="C47" s="40" t="s">
        <v>355</v>
      </c>
      <c r="D47" s="66">
        <v>0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4"/>
    </row>
    <row r="48" spans="1:51" ht="15.75" x14ac:dyDescent="0.25">
      <c r="A48" s="11" t="s">
        <v>166</v>
      </c>
      <c r="B48" s="11"/>
      <c r="C48" s="40" t="s">
        <v>354</v>
      </c>
      <c r="D48" s="66">
        <v>61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16"/>
    </row>
    <row r="49" spans="1:51" ht="15.75" x14ac:dyDescent="0.25">
      <c r="A49" s="11" t="s">
        <v>167</v>
      </c>
      <c r="B49" s="11"/>
      <c r="C49" s="40" t="s">
        <v>186</v>
      </c>
      <c r="D49" s="66">
        <v>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16"/>
    </row>
    <row r="50" spans="1:51" s="19" customFormat="1" ht="15.75" x14ac:dyDescent="0.25">
      <c r="A50" s="11" t="s">
        <v>168</v>
      </c>
      <c r="B50" s="39"/>
      <c r="C50" s="41" t="s">
        <v>63</v>
      </c>
      <c r="D50" s="7">
        <f>SUM(D45:D49)</f>
        <v>71</v>
      </c>
      <c r="E50" s="7">
        <f>SUM(E45:E49)</f>
        <v>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34"/>
      <c r="AY50" s="22"/>
    </row>
    <row r="51" spans="1:51" s="139" customFormat="1" ht="15.75" x14ac:dyDescent="0.25">
      <c r="A51" s="136" t="s">
        <v>169</v>
      </c>
      <c r="B51" s="136"/>
      <c r="C51" s="137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382"/>
    </row>
    <row r="52" spans="1:51" x14ac:dyDescent="0.25">
      <c r="A52" s="11" t="s">
        <v>170</v>
      </c>
      <c r="B52" s="5"/>
      <c r="C52" s="16" t="s">
        <v>81</v>
      </c>
      <c r="D52" s="64">
        <f t="shared" ref="D52:AY52" si="6">SUMIF($B7:$B42,"kötelező",D7:D42)</f>
        <v>126371312</v>
      </c>
      <c r="E52" s="64">
        <f t="shared" si="6"/>
        <v>128260475</v>
      </c>
      <c r="F52" s="64">
        <f t="shared" si="6"/>
        <v>62404679</v>
      </c>
      <c r="G52" s="64">
        <f t="shared" si="6"/>
        <v>10626096</v>
      </c>
      <c r="H52" s="64">
        <f t="shared" si="6"/>
        <v>10626096</v>
      </c>
      <c r="I52" s="64">
        <f t="shared" si="6"/>
        <v>5693584</v>
      </c>
      <c r="J52" s="64">
        <f t="shared" si="6"/>
        <v>208801477</v>
      </c>
      <c r="K52" s="64">
        <f t="shared" si="6"/>
        <v>209368062</v>
      </c>
      <c r="L52" s="64">
        <f t="shared" si="6"/>
        <v>90687389</v>
      </c>
      <c r="M52" s="64">
        <f t="shared" si="6"/>
        <v>23567530</v>
      </c>
      <c r="N52" s="64">
        <f t="shared" si="6"/>
        <v>23567530</v>
      </c>
      <c r="O52" s="64">
        <f t="shared" si="6"/>
        <v>7598308</v>
      </c>
      <c r="P52" s="64">
        <f t="shared" si="6"/>
        <v>25227421</v>
      </c>
      <c r="Q52" s="64">
        <f t="shared" si="6"/>
        <v>25227421</v>
      </c>
      <c r="R52" s="64">
        <f t="shared" si="6"/>
        <v>15702567</v>
      </c>
      <c r="S52" s="64">
        <f t="shared" si="6"/>
        <v>7767900</v>
      </c>
      <c r="T52" s="64">
        <f t="shared" si="6"/>
        <v>15387325</v>
      </c>
      <c r="U52" s="64">
        <f t="shared" si="6"/>
        <v>10986955</v>
      </c>
      <c r="V52" s="64">
        <f t="shared" si="6"/>
        <v>0</v>
      </c>
      <c r="W52" s="64">
        <f t="shared" si="6"/>
        <v>0</v>
      </c>
      <c r="X52" s="64">
        <f t="shared" si="6"/>
        <v>0</v>
      </c>
      <c r="Y52" s="64">
        <f t="shared" si="6"/>
        <v>0</v>
      </c>
      <c r="Z52" s="64">
        <f t="shared" si="6"/>
        <v>5730105</v>
      </c>
      <c r="AA52" s="64">
        <f t="shared" si="6"/>
        <v>5730105</v>
      </c>
      <c r="AB52" s="64">
        <f t="shared" si="6"/>
        <v>128195438</v>
      </c>
      <c r="AC52" s="64">
        <f t="shared" si="6"/>
        <v>129465438</v>
      </c>
      <c r="AD52" s="64">
        <f t="shared" si="6"/>
        <v>66643947</v>
      </c>
      <c r="AE52" s="64">
        <f t="shared" si="6"/>
        <v>1946773671</v>
      </c>
      <c r="AF52" s="64">
        <f t="shared" si="6"/>
        <v>1946773671</v>
      </c>
      <c r="AG52" s="64">
        <f t="shared" si="6"/>
        <v>80250990</v>
      </c>
      <c r="AH52" s="64">
        <f t="shared" si="6"/>
        <v>164068212</v>
      </c>
      <c r="AI52" s="64">
        <f t="shared" si="6"/>
        <v>722066845</v>
      </c>
      <c r="AJ52" s="64">
        <f t="shared" si="6"/>
        <v>0</v>
      </c>
      <c r="AK52" s="64">
        <f t="shared" si="6"/>
        <v>25341976</v>
      </c>
      <c r="AL52" s="64">
        <f t="shared" si="6"/>
        <v>25692813</v>
      </c>
      <c r="AM52" s="64">
        <f t="shared" si="6"/>
        <v>25692813</v>
      </c>
      <c r="AN52" s="64">
        <f t="shared" si="6"/>
        <v>2400000</v>
      </c>
      <c r="AO52" s="64">
        <f t="shared" si="6"/>
        <v>2400000</v>
      </c>
      <c r="AP52" s="64">
        <f t="shared" si="6"/>
        <v>1750000</v>
      </c>
      <c r="AQ52" s="64">
        <f t="shared" si="6"/>
        <v>2669141033</v>
      </c>
      <c r="AR52" s="64">
        <f t="shared" si="6"/>
        <v>3244565781</v>
      </c>
      <c r="AS52" s="64">
        <f t="shared" si="6"/>
        <v>373141337</v>
      </c>
      <c r="AT52" s="64">
        <f t="shared" ca="1" si="6"/>
        <v>562457489</v>
      </c>
      <c r="AU52" s="64">
        <f t="shared" si="6"/>
        <v>586161901</v>
      </c>
      <c r="AV52" s="64">
        <f t="shared" si="6"/>
        <v>275730266</v>
      </c>
      <c r="AW52" s="64">
        <f t="shared" ca="1" si="6"/>
        <v>3231598522</v>
      </c>
      <c r="AX52" s="64">
        <f t="shared" si="6"/>
        <v>3830727682</v>
      </c>
      <c r="AY52" s="64">
        <f t="shared" si="6"/>
        <v>648871603</v>
      </c>
    </row>
    <row r="53" spans="1:51" x14ac:dyDescent="0.25">
      <c r="A53" s="11" t="s">
        <v>171</v>
      </c>
      <c r="B53" s="5"/>
      <c r="C53" s="16" t="s">
        <v>82</v>
      </c>
      <c r="D53" s="64">
        <f t="shared" ref="D53:AY53" si="7">SUMIF($B7:$B42,"nem kötelező",D7:D42)</f>
        <v>420000</v>
      </c>
      <c r="E53" s="64">
        <f t="shared" si="7"/>
        <v>420000</v>
      </c>
      <c r="F53" s="64">
        <f t="shared" si="7"/>
        <v>0</v>
      </c>
      <c r="G53" s="64">
        <f t="shared" si="7"/>
        <v>0</v>
      </c>
      <c r="H53" s="64">
        <f t="shared" si="7"/>
        <v>0</v>
      </c>
      <c r="I53" s="64"/>
      <c r="J53" s="64">
        <f t="shared" si="7"/>
        <v>16367817</v>
      </c>
      <c r="K53" s="64">
        <f t="shared" si="7"/>
        <v>16367817</v>
      </c>
      <c r="L53" s="64">
        <f t="shared" si="7"/>
        <v>7645129</v>
      </c>
      <c r="M53" s="64">
        <f t="shared" si="7"/>
        <v>0</v>
      </c>
      <c r="N53" s="64">
        <f t="shared" si="7"/>
        <v>0</v>
      </c>
      <c r="O53" s="64">
        <f t="shared" si="7"/>
        <v>0</v>
      </c>
      <c r="P53" s="64">
        <f t="shared" si="7"/>
        <v>3300000</v>
      </c>
      <c r="Q53" s="64">
        <f t="shared" si="7"/>
        <v>3300000</v>
      </c>
      <c r="R53" s="64">
        <f t="shared" si="7"/>
        <v>850000</v>
      </c>
      <c r="S53" s="64">
        <f t="shared" si="7"/>
        <v>0</v>
      </c>
      <c r="T53" s="64">
        <f t="shared" si="7"/>
        <v>0</v>
      </c>
      <c r="U53" s="64">
        <f t="shared" si="7"/>
        <v>0</v>
      </c>
      <c r="V53" s="64">
        <f t="shared" si="7"/>
        <v>0</v>
      </c>
      <c r="W53" s="64">
        <f t="shared" si="7"/>
        <v>0</v>
      </c>
      <c r="X53" s="64">
        <f t="shared" si="7"/>
        <v>0</v>
      </c>
      <c r="Y53" s="64">
        <f t="shared" si="7"/>
        <v>0</v>
      </c>
      <c r="Z53" s="64">
        <f t="shared" si="7"/>
        <v>0</v>
      </c>
      <c r="AA53" s="64">
        <f t="shared" si="7"/>
        <v>0</v>
      </c>
      <c r="AB53" s="64">
        <f t="shared" si="7"/>
        <v>0</v>
      </c>
      <c r="AC53" s="64">
        <f t="shared" si="7"/>
        <v>0</v>
      </c>
      <c r="AD53" s="64">
        <f t="shared" si="7"/>
        <v>301996</v>
      </c>
      <c r="AE53" s="64">
        <f t="shared" si="7"/>
        <v>20653836</v>
      </c>
      <c r="AF53" s="64">
        <f t="shared" si="7"/>
        <v>20653836</v>
      </c>
      <c r="AG53" s="64">
        <f t="shared" si="7"/>
        <v>5899026</v>
      </c>
      <c r="AH53" s="64">
        <f t="shared" si="7"/>
        <v>0</v>
      </c>
      <c r="AI53" s="64">
        <f t="shared" si="7"/>
        <v>0</v>
      </c>
      <c r="AJ53" s="64">
        <f t="shared" si="7"/>
        <v>0</v>
      </c>
      <c r="AK53" s="64">
        <f t="shared" si="7"/>
        <v>0</v>
      </c>
      <c r="AL53" s="64">
        <f t="shared" si="7"/>
        <v>0</v>
      </c>
      <c r="AM53" s="64">
        <f t="shared" si="7"/>
        <v>0</v>
      </c>
      <c r="AN53" s="64">
        <f t="shared" si="7"/>
        <v>0</v>
      </c>
      <c r="AO53" s="64">
        <f t="shared" si="7"/>
        <v>0</v>
      </c>
      <c r="AP53" s="64">
        <f t="shared" si="7"/>
        <v>0</v>
      </c>
      <c r="AQ53" s="64">
        <f t="shared" si="7"/>
        <v>40741653</v>
      </c>
      <c r="AR53" s="64">
        <f t="shared" si="7"/>
        <v>40741653</v>
      </c>
      <c r="AS53" s="64">
        <f t="shared" si="7"/>
        <v>14696151</v>
      </c>
      <c r="AT53" s="64">
        <f t="shared" si="7"/>
        <v>0</v>
      </c>
      <c r="AU53" s="64">
        <f t="shared" si="7"/>
        <v>0</v>
      </c>
      <c r="AV53" s="64">
        <f t="shared" si="7"/>
        <v>0</v>
      </c>
      <c r="AW53" s="64">
        <f t="shared" si="7"/>
        <v>40741653</v>
      </c>
      <c r="AX53" s="64">
        <f t="shared" si="7"/>
        <v>40741653</v>
      </c>
      <c r="AY53" s="64">
        <f t="shared" si="7"/>
        <v>14696151</v>
      </c>
    </row>
    <row r="54" spans="1:51" s="19" customFormat="1" x14ac:dyDescent="0.25">
      <c r="A54" s="11" t="s">
        <v>172</v>
      </c>
      <c r="B54" s="17"/>
      <c r="C54" s="18" t="s">
        <v>236</v>
      </c>
      <c r="D54" s="91">
        <f>SUM(D55:D56)</f>
        <v>103120906</v>
      </c>
      <c r="E54" s="91">
        <f>SUM(E55:E56)</f>
        <v>106864211</v>
      </c>
      <c r="F54" s="91">
        <f>SUM(F55:F56)</f>
        <v>50863564</v>
      </c>
      <c r="G54" s="91">
        <f t="shared" ref="G54:AV54" si="8">SUM(G55:G56)</f>
        <v>14046968</v>
      </c>
      <c r="H54" s="91">
        <f t="shared" si="8"/>
        <v>14189368</v>
      </c>
      <c r="I54" s="91">
        <f t="shared" si="8"/>
        <v>7785668</v>
      </c>
      <c r="J54" s="91">
        <f t="shared" si="8"/>
        <v>9386521</v>
      </c>
      <c r="K54" s="91">
        <f t="shared" si="8"/>
        <v>11316521</v>
      </c>
      <c r="L54" s="91">
        <f t="shared" si="8"/>
        <v>4029363</v>
      </c>
      <c r="M54" s="91">
        <f t="shared" si="8"/>
        <v>0</v>
      </c>
      <c r="N54" s="91">
        <f t="shared" si="8"/>
        <v>0</v>
      </c>
      <c r="O54" s="91">
        <f t="shared" si="8"/>
        <v>0</v>
      </c>
      <c r="P54" s="91">
        <f t="shared" si="8"/>
        <v>0</v>
      </c>
      <c r="Q54" s="91">
        <f t="shared" si="8"/>
        <v>0</v>
      </c>
      <c r="R54" s="91">
        <f t="shared" si="8"/>
        <v>0</v>
      </c>
      <c r="S54" s="91">
        <f t="shared" si="8"/>
        <v>0</v>
      </c>
      <c r="T54" s="91">
        <f t="shared" si="8"/>
        <v>228095</v>
      </c>
      <c r="U54" s="91">
        <f t="shared" si="8"/>
        <v>228095</v>
      </c>
      <c r="V54" s="91">
        <f t="shared" si="8"/>
        <v>0</v>
      </c>
      <c r="W54" s="91">
        <f t="shared" si="8"/>
        <v>0</v>
      </c>
      <c r="X54" s="91">
        <f t="shared" si="8"/>
        <v>0</v>
      </c>
      <c r="Y54" s="91">
        <v>0</v>
      </c>
      <c r="Z54" s="91">
        <v>0</v>
      </c>
      <c r="AA54" s="91">
        <v>0</v>
      </c>
      <c r="AB54" s="91">
        <f t="shared" si="8"/>
        <v>0</v>
      </c>
      <c r="AC54" s="91">
        <f t="shared" si="8"/>
        <v>205000</v>
      </c>
      <c r="AD54" s="91">
        <f t="shared" si="8"/>
        <v>55061</v>
      </c>
      <c r="AE54" s="91">
        <f t="shared" si="8"/>
        <v>0</v>
      </c>
      <c r="AF54" s="91">
        <f t="shared" si="8"/>
        <v>0</v>
      </c>
      <c r="AG54" s="91">
        <f t="shared" si="8"/>
        <v>0</v>
      </c>
      <c r="AH54" s="91">
        <f t="shared" si="8"/>
        <v>0</v>
      </c>
      <c r="AI54" s="91">
        <f t="shared" si="8"/>
        <v>0</v>
      </c>
      <c r="AJ54" s="91">
        <f t="shared" si="8"/>
        <v>0</v>
      </c>
      <c r="AK54" s="91">
        <f t="shared" si="8"/>
        <v>0</v>
      </c>
      <c r="AL54" s="91">
        <f t="shared" si="8"/>
        <v>0</v>
      </c>
      <c r="AM54" s="91">
        <f t="shared" si="8"/>
        <v>0</v>
      </c>
      <c r="AN54" s="91"/>
      <c r="AO54" s="91"/>
      <c r="AP54" s="91"/>
      <c r="AQ54" s="91">
        <f>SUM(AQ55:AQ56)</f>
        <v>126554395</v>
      </c>
      <c r="AR54" s="91">
        <f>SUM(AR55:AR56)</f>
        <v>132803195</v>
      </c>
      <c r="AS54" s="91">
        <f>SUM(AS55:AS56)</f>
        <v>62961751</v>
      </c>
      <c r="AT54" s="113">
        <f t="shared" si="8"/>
        <v>0</v>
      </c>
      <c r="AU54" s="113">
        <f t="shared" si="8"/>
        <v>128363672</v>
      </c>
      <c r="AV54" s="113">
        <f t="shared" si="8"/>
        <v>59797287</v>
      </c>
      <c r="AW54" s="113">
        <f>AQ54+AT54</f>
        <v>126554395</v>
      </c>
      <c r="AX54" s="8">
        <f>AR54</f>
        <v>132803195</v>
      </c>
      <c r="AY54" s="8">
        <f>AS54</f>
        <v>62961751</v>
      </c>
    </row>
    <row r="55" spans="1:51" x14ac:dyDescent="0.25">
      <c r="A55" s="11" t="s">
        <v>173</v>
      </c>
      <c r="B55" s="5" t="s">
        <v>113</v>
      </c>
      <c r="C55" s="20" t="s">
        <v>112</v>
      </c>
      <c r="D55" s="89">
        <f>'7.PMH kiad'!D8</f>
        <v>12890113</v>
      </c>
      <c r="E55" s="89">
        <f>'7.PMH kiad'!E12</f>
        <v>14358026</v>
      </c>
      <c r="F55" s="89">
        <f>'7.PMH kiad'!F12</f>
        <v>7106582</v>
      </c>
      <c r="G55" s="89">
        <f>'7.PMH kiad'!G8</f>
        <v>1755871</v>
      </c>
      <c r="H55" s="89">
        <f>'7.PMH kiad'!H12</f>
        <v>1755871</v>
      </c>
      <c r="I55" s="89">
        <f>'7.PMH kiad'!I12</f>
        <v>1245347</v>
      </c>
      <c r="J55" s="89">
        <f>'7.PMH kiad'!J8</f>
        <v>1173315</v>
      </c>
      <c r="K55" s="89">
        <f>'7.PMH kiad'!K12</f>
        <v>1173315</v>
      </c>
      <c r="L55" s="89">
        <f>'7.PMH kiad'!L12</f>
        <v>503670</v>
      </c>
      <c r="M55" s="89"/>
      <c r="N55" s="89"/>
      <c r="O55" s="89"/>
      <c r="P55" s="89"/>
      <c r="Q55" s="89"/>
      <c r="R55" s="89"/>
      <c r="S55" s="89"/>
      <c r="T55" s="89">
        <f>'7.PMH kiad'!Q12</f>
        <v>228095</v>
      </c>
      <c r="U55" s="89">
        <f>'7.PMH kiad'!R12</f>
        <v>228095</v>
      </c>
      <c r="V55" s="89"/>
      <c r="W55" s="89"/>
      <c r="X55" s="89"/>
      <c r="Y55" s="89"/>
      <c r="Z55" s="89"/>
      <c r="AA55" s="89"/>
      <c r="AB55" s="89">
        <f>'7.PMH kiad'!S13</f>
        <v>0</v>
      </c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>
        <f>D55+G55+J55+M55+P55+S55+V55+Y55+AB55+AE55+AH55+AK55</f>
        <v>15819299</v>
      </c>
      <c r="AR55" s="89">
        <f>E55+H55+K55+T55</f>
        <v>17515307</v>
      </c>
      <c r="AS55" s="89">
        <f>F55+I55+L55+U55</f>
        <v>9083694</v>
      </c>
      <c r="AT55" s="114"/>
      <c r="AU55" s="114">
        <f>'3.mellékletPH.bev.'!W7</f>
        <v>111748365</v>
      </c>
      <c r="AV55" s="114">
        <f>'3.mellékletPH.bev.'!X7</f>
        <v>52322626</v>
      </c>
      <c r="AW55" s="113">
        <f t="shared" ref="AW55:AW62" si="9">AQ55+AT55</f>
        <v>15819299</v>
      </c>
      <c r="AX55" s="8">
        <f t="shared" ref="AX55:AY62" si="10">AR55</f>
        <v>17515307</v>
      </c>
      <c r="AY55" s="8">
        <f t="shared" si="10"/>
        <v>9083694</v>
      </c>
    </row>
    <row r="56" spans="1:51" x14ac:dyDescent="0.25">
      <c r="A56" s="11" t="s">
        <v>174</v>
      </c>
      <c r="B56" s="5" t="s">
        <v>76</v>
      </c>
      <c r="C56" s="20" t="s">
        <v>81</v>
      </c>
      <c r="D56" s="89">
        <f>'7.PMH kiad'!D7</f>
        <v>90230793</v>
      </c>
      <c r="E56" s="89">
        <f>'7.PMH kiad'!E13</f>
        <v>92506185</v>
      </c>
      <c r="F56" s="89">
        <f>'7.PMH kiad'!F13</f>
        <v>43756982</v>
      </c>
      <c r="G56" s="89">
        <f>'7.PMH kiad'!G7</f>
        <v>12291097</v>
      </c>
      <c r="H56" s="89">
        <f>'7.PMH kiad'!H13</f>
        <v>12433497</v>
      </c>
      <c r="I56" s="89">
        <f>'7.PMH kiad'!I13</f>
        <v>6540321</v>
      </c>
      <c r="J56" s="89">
        <f>'7.PMH kiad'!J7</f>
        <v>8213206</v>
      </c>
      <c r="K56" s="89">
        <f>'7.PMH kiad'!K13</f>
        <v>10143206</v>
      </c>
      <c r="L56" s="89">
        <f>'7.PMH kiad'!L13</f>
        <v>3525693</v>
      </c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>
        <f>'7.PMH kiad'!T13</f>
        <v>205000</v>
      </c>
      <c r="AD56" s="89">
        <f>'7.PMH kiad'!U13</f>
        <v>55061</v>
      </c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>
        <f>D56+G56+J56+M56+P56+S56+V56+Y56+AB56+AE56+AH56+AK56</f>
        <v>110735096</v>
      </c>
      <c r="AR56" s="89">
        <f>E56+H56+K56+N56+Q56+T56+W56+Z56+AC56+AF56+AI56+AL56+AO56</f>
        <v>115287888</v>
      </c>
      <c r="AS56" s="89">
        <f>F56+I56+L56+O56+R56+U56+X56+AA56+AD56+AG56+AJ56+AM56+AP56</f>
        <v>53878057</v>
      </c>
      <c r="AT56" s="114"/>
      <c r="AU56" s="114">
        <f>'3.mellékletPH.bev.'!W10</f>
        <v>16615307</v>
      </c>
      <c r="AV56" s="114">
        <f>'3.mellékletPH.bev.'!X10</f>
        <v>7474661</v>
      </c>
      <c r="AW56" s="113">
        <f t="shared" si="9"/>
        <v>110735096</v>
      </c>
      <c r="AX56" s="8">
        <f t="shared" si="10"/>
        <v>115287888</v>
      </c>
      <c r="AY56" s="8">
        <f t="shared" si="10"/>
        <v>53878057</v>
      </c>
    </row>
    <row r="57" spans="1:51" s="19" customFormat="1" x14ac:dyDescent="0.25">
      <c r="A57" s="11" t="s">
        <v>175</v>
      </c>
      <c r="B57" s="17"/>
      <c r="C57" s="18" t="s">
        <v>241</v>
      </c>
      <c r="D57" s="91">
        <f>SUM(D58:D59)</f>
        <v>136199831</v>
      </c>
      <c r="E57" s="91">
        <f>SUM(E58:E59)</f>
        <v>146886224</v>
      </c>
      <c r="F57" s="91">
        <f>SUM(F58:F59)</f>
        <v>64332050</v>
      </c>
      <c r="G57" s="91">
        <f t="shared" ref="G57:AV57" si="11">SUM(G58:G59)</f>
        <v>17649428</v>
      </c>
      <c r="H57" s="91">
        <f t="shared" si="11"/>
        <v>18573580</v>
      </c>
      <c r="I57" s="91">
        <f t="shared" si="11"/>
        <v>8435876</v>
      </c>
      <c r="J57" s="91">
        <f t="shared" si="11"/>
        <v>61733414</v>
      </c>
      <c r="K57" s="91">
        <f t="shared" si="11"/>
        <v>61733414</v>
      </c>
      <c r="L57" s="91">
        <f t="shared" si="11"/>
        <v>26728567</v>
      </c>
      <c r="M57" s="91">
        <f t="shared" si="11"/>
        <v>0</v>
      </c>
      <c r="N57" s="91">
        <f t="shared" si="11"/>
        <v>0</v>
      </c>
      <c r="O57" s="91">
        <f t="shared" si="11"/>
        <v>0</v>
      </c>
      <c r="P57" s="91">
        <f t="shared" si="11"/>
        <v>0</v>
      </c>
      <c r="Q57" s="91">
        <f t="shared" si="11"/>
        <v>0</v>
      </c>
      <c r="R57" s="91">
        <f t="shared" si="11"/>
        <v>0</v>
      </c>
      <c r="S57" s="91">
        <f t="shared" si="11"/>
        <v>0</v>
      </c>
      <c r="T57" s="91">
        <f t="shared" si="11"/>
        <v>0</v>
      </c>
      <c r="U57" s="91">
        <f t="shared" si="11"/>
        <v>0</v>
      </c>
      <c r="V57" s="91">
        <f t="shared" si="11"/>
        <v>0</v>
      </c>
      <c r="W57" s="91">
        <f t="shared" si="11"/>
        <v>0</v>
      </c>
      <c r="X57" s="91">
        <f t="shared" si="11"/>
        <v>0</v>
      </c>
      <c r="Y57" s="91">
        <f t="shared" si="11"/>
        <v>0</v>
      </c>
      <c r="Z57" s="91">
        <f t="shared" si="11"/>
        <v>0</v>
      </c>
      <c r="AA57" s="91">
        <f t="shared" si="11"/>
        <v>0</v>
      </c>
      <c r="AB57" s="91">
        <f t="shared" si="11"/>
        <v>0</v>
      </c>
      <c r="AC57" s="91">
        <f t="shared" si="11"/>
        <v>0</v>
      </c>
      <c r="AD57" s="91">
        <f t="shared" si="11"/>
        <v>11598</v>
      </c>
      <c r="AE57" s="91">
        <f t="shared" si="11"/>
        <v>0</v>
      </c>
      <c r="AF57" s="91">
        <f t="shared" si="11"/>
        <v>0</v>
      </c>
      <c r="AG57" s="91">
        <f t="shared" si="11"/>
        <v>0</v>
      </c>
      <c r="AH57" s="91">
        <f t="shared" si="11"/>
        <v>0</v>
      </c>
      <c r="AI57" s="91">
        <f t="shared" si="11"/>
        <v>0</v>
      </c>
      <c r="AJ57" s="91">
        <f t="shared" si="11"/>
        <v>0</v>
      </c>
      <c r="AK57" s="91">
        <f t="shared" si="11"/>
        <v>0</v>
      </c>
      <c r="AL57" s="91">
        <f t="shared" si="11"/>
        <v>0</v>
      </c>
      <c r="AM57" s="91">
        <f t="shared" si="11"/>
        <v>0</v>
      </c>
      <c r="AN57" s="91"/>
      <c r="AO57" s="91"/>
      <c r="AP57" s="91"/>
      <c r="AQ57" s="91">
        <f>D57+G57+J57+M57+P57+S57+V57+Y57+AB57+AE57+AH57+AK57</f>
        <v>215582673</v>
      </c>
      <c r="AR57" s="89">
        <f>E57+H57+K57</f>
        <v>227193218</v>
      </c>
      <c r="AS57" s="89">
        <f>F57+I57+AD57+L57</f>
        <v>99508091</v>
      </c>
      <c r="AT57" s="113">
        <f t="shared" si="11"/>
        <v>0</v>
      </c>
      <c r="AU57" s="113">
        <f t="shared" si="11"/>
        <v>223190968</v>
      </c>
      <c r="AV57" s="113">
        <f t="shared" si="11"/>
        <v>96064656</v>
      </c>
      <c r="AW57" s="113">
        <f t="shared" si="9"/>
        <v>215582673</v>
      </c>
      <c r="AX57" s="356">
        <f>AR57</f>
        <v>227193218</v>
      </c>
      <c r="AY57" s="356">
        <f>AS57</f>
        <v>99508091</v>
      </c>
    </row>
    <row r="58" spans="1:51" x14ac:dyDescent="0.25">
      <c r="A58" s="11" t="s">
        <v>176</v>
      </c>
      <c r="B58" s="5" t="s">
        <v>76</v>
      </c>
      <c r="C58" s="20" t="s">
        <v>81</v>
      </c>
      <c r="D58" s="89">
        <f>'9. Óvoda kiad'!D13</f>
        <v>136199831</v>
      </c>
      <c r="E58" s="89">
        <f>'9. Óvoda kiad'!E13</f>
        <v>146886224</v>
      </c>
      <c r="F58" s="89">
        <f>'9. Óvoda kiad'!F13</f>
        <v>64332050</v>
      </c>
      <c r="G58" s="89">
        <f>'9. Óvoda kiad'!G13</f>
        <v>17649428</v>
      </c>
      <c r="H58" s="89">
        <f>'9. Óvoda kiad'!H13</f>
        <v>18573580</v>
      </c>
      <c r="I58" s="89">
        <f>'9. Óvoda kiad'!I13</f>
        <v>8435876</v>
      </c>
      <c r="J58" s="89">
        <f>'9. Óvoda kiad'!J13</f>
        <v>61733414</v>
      </c>
      <c r="K58" s="89">
        <f>'9. Óvoda kiad'!K13</f>
        <v>61733414</v>
      </c>
      <c r="L58" s="89">
        <f>'9. Óvoda kiad'!L13</f>
        <v>26728567</v>
      </c>
      <c r="M58" s="89"/>
      <c r="N58" s="89">
        <f>'9. Óvoda kiad'!N13</f>
        <v>0</v>
      </c>
      <c r="O58" s="89">
        <f>'9. Óvoda kiad'!O13</f>
        <v>0</v>
      </c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>
        <f>'9. Óvoda kiad'!S13</f>
        <v>0</v>
      </c>
      <c r="AC58" s="89">
        <f>'9. Óvoda kiad'!T13</f>
        <v>0</v>
      </c>
      <c r="AD58" s="89">
        <f>'9. Óvoda kiad'!U13</f>
        <v>11598</v>
      </c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>
        <f>D58+G58+J58+M58+P58+S58+V58+Y58+AB58+AE58+AH58+AK58</f>
        <v>215582673</v>
      </c>
      <c r="AR58" s="89">
        <f>E58+H58+K58</f>
        <v>227193218</v>
      </c>
      <c r="AS58" s="89">
        <f>F58+I58+L58+AD58</f>
        <v>99508091</v>
      </c>
      <c r="AT58" s="114"/>
      <c r="AU58" s="114">
        <f>'5. Óvoda bev'!W14</f>
        <v>223190968</v>
      </c>
      <c r="AV58" s="114">
        <f>'5. Óvoda bev'!X14</f>
        <v>96064656</v>
      </c>
      <c r="AW58" s="113">
        <f t="shared" si="9"/>
        <v>215582673</v>
      </c>
      <c r="AX58" s="8">
        <f t="shared" si="10"/>
        <v>227193218</v>
      </c>
      <c r="AY58" s="8">
        <f t="shared" si="10"/>
        <v>99508091</v>
      </c>
    </row>
    <row r="59" spans="1:51" x14ac:dyDescent="0.25">
      <c r="A59" s="11" t="s">
        <v>177</v>
      </c>
      <c r="B59" s="5" t="s">
        <v>77</v>
      </c>
      <c r="C59" s="20" t="s">
        <v>82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>
        <f>D59+G59+J59+M59+P59+S59+V59+Y59+AB59+AE59+AH59+AK59</f>
        <v>0</v>
      </c>
      <c r="AR59" s="89">
        <f>E59+H59+K59+N59+Q59+T59+W59+Z59+AC59+AF59+AI59+AL59+AO59</f>
        <v>0</v>
      </c>
      <c r="AS59" s="89">
        <f>F59+I59+L59+O59+R59+U59+X59+AA59+AD59+AG59+AJ59+AM59+AP59</f>
        <v>0</v>
      </c>
      <c r="AT59" s="114"/>
      <c r="AU59" s="114"/>
      <c r="AV59" s="114"/>
      <c r="AW59" s="113">
        <f t="shared" si="9"/>
        <v>0</v>
      </c>
      <c r="AX59" s="8">
        <f t="shared" si="10"/>
        <v>0</v>
      </c>
      <c r="AY59" s="8">
        <f t="shared" si="10"/>
        <v>0</v>
      </c>
    </row>
    <row r="60" spans="1:51" s="19" customFormat="1" x14ac:dyDescent="0.25">
      <c r="A60" s="11" t="s">
        <v>178</v>
      </c>
      <c r="B60" s="17"/>
      <c r="C60" s="18" t="s">
        <v>242</v>
      </c>
      <c r="D60" s="91">
        <f>SUM(D61:D62)</f>
        <v>139015066</v>
      </c>
      <c r="E60" s="91">
        <f>SUM(E61:E62)</f>
        <v>147411388</v>
      </c>
      <c r="F60" s="91">
        <f>SUM(F61:F62)</f>
        <v>80940121</v>
      </c>
      <c r="G60" s="91">
        <f t="shared" ref="G60:AV60" si="12">SUM(G61:G62)</f>
        <v>17878633</v>
      </c>
      <c r="H60" s="91">
        <f t="shared" si="12"/>
        <v>18677431</v>
      </c>
      <c r="I60" s="91">
        <f t="shared" si="12"/>
        <v>10899465</v>
      </c>
      <c r="J60" s="91">
        <f t="shared" si="12"/>
        <v>175338796</v>
      </c>
      <c r="K60" s="91">
        <f t="shared" si="12"/>
        <v>175338796</v>
      </c>
      <c r="L60" s="91">
        <f t="shared" si="12"/>
        <v>87191796</v>
      </c>
      <c r="M60" s="91">
        <f t="shared" si="12"/>
        <v>0</v>
      </c>
      <c r="N60" s="91">
        <f t="shared" si="12"/>
        <v>0</v>
      </c>
      <c r="O60" s="91">
        <f t="shared" si="12"/>
        <v>0</v>
      </c>
      <c r="P60" s="91">
        <f t="shared" si="12"/>
        <v>0</v>
      </c>
      <c r="Q60" s="91">
        <f t="shared" si="12"/>
        <v>0</v>
      </c>
      <c r="R60" s="91">
        <f t="shared" si="12"/>
        <v>0</v>
      </c>
      <c r="S60" s="91">
        <f t="shared" si="12"/>
        <v>0</v>
      </c>
      <c r="T60" s="91">
        <f t="shared" si="12"/>
        <v>0</v>
      </c>
      <c r="U60" s="91">
        <f t="shared" si="12"/>
        <v>0</v>
      </c>
      <c r="V60" s="91">
        <f t="shared" si="12"/>
        <v>0</v>
      </c>
      <c r="W60" s="91">
        <f t="shared" si="12"/>
        <v>0</v>
      </c>
      <c r="X60" s="91">
        <f t="shared" si="12"/>
        <v>0</v>
      </c>
      <c r="Y60" s="91">
        <v>0</v>
      </c>
      <c r="Z60" s="91">
        <v>0</v>
      </c>
      <c r="AA60" s="91">
        <v>0</v>
      </c>
      <c r="AB60" s="91">
        <f t="shared" si="12"/>
        <v>4355939</v>
      </c>
      <c r="AC60" s="91">
        <f t="shared" si="12"/>
        <v>4355939</v>
      </c>
      <c r="AD60" s="91">
        <f t="shared" si="12"/>
        <v>2915725</v>
      </c>
      <c r="AE60" s="91">
        <f t="shared" si="12"/>
        <v>0</v>
      </c>
      <c r="AF60" s="91">
        <f t="shared" si="12"/>
        <v>0</v>
      </c>
      <c r="AG60" s="91">
        <f t="shared" si="12"/>
        <v>0</v>
      </c>
      <c r="AH60" s="91">
        <f t="shared" si="12"/>
        <v>0</v>
      </c>
      <c r="AI60" s="91">
        <f t="shared" si="12"/>
        <v>0</v>
      </c>
      <c r="AJ60" s="91">
        <f t="shared" si="12"/>
        <v>0</v>
      </c>
      <c r="AK60" s="91">
        <f t="shared" si="12"/>
        <v>0</v>
      </c>
      <c r="AL60" s="91">
        <f t="shared" si="12"/>
        <v>0</v>
      </c>
      <c r="AM60" s="91">
        <f t="shared" si="12"/>
        <v>0</v>
      </c>
      <c r="AN60" s="91">
        <f t="shared" si="12"/>
        <v>0</v>
      </c>
      <c r="AO60" s="91">
        <f t="shared" si="12"/>
        <v>0</v>
      </c>
      <c r="AP60" s="91">
        <f t="shared" si="12"/>
        <v>0</v>
      </c>
      <c r="AQ60" s="91">
        <f t="shared" si="12"/>
        <v>336588434</v>
      </c>
      <c r="AR60" s="91">
        <f>SUM(AR61:AR62)</f>
        <v>345783554</v>
      </c>
      <c r="AS60" s="91">
        <f t="shared" si="12"/>
        <v>181947107</v>
      </c>
      <c r="AT60" s="91">
        <f t="shared" si="12"/>
        <v>0</v>
      </c>
      <c r="AU60" s="113">
        <f t="shared" ca="1" si="12"/>
        <v>234607261</v>
      </c>
      <c r="AV60" s="113">
        <f t="shared" ca="1" si="12"/>
        <v>119868323</v>
      </c>
      <c r="AW60" s="113">
        <f t="shared" si="9"/>
        <v>336588434</v>
      </c>
      <c r="AX60" s="8">
        <f t="shared" si="10"/>
        <v>345783554</v>
      </c>
      <c r="AY60" s="8">
        <f t="shared" si="10"/>
        <v>181947107</v>
      </c>
    </row>
    <row r="61" spans="1:51" x14ac:dyDescent="0.25">
      <c r="A61" s="11" t="s">
        <v>179</v>
      </c>
      <c r="B61" s="5" t="s">
        <v>76</v>
      </c>
      <c r="C61" s="20" t="s">
        <v>81</v>
      </c>
      <c r="D61" s="89">
        <f>'8.ESZI kiad'!D15</f>
        <v>21759250</v>
      </c>
      <c r="E61" s="89">
        <f>'8.ESZI kiad'!E15</f>
        <v>22463939</v>
      </c>
      <c r="F61" s="89">
        <f>'8.ESZI kiad'!F15</f>
        <v>10892510</v>
      </c>
      <c r="G61" s="89">
        <f>'8.ESZI kiad'!G15</f>
        <v>2828703</v>
      </c>
      <c r="H61" s="89">
        <f>'8.ESZI kiad'!H15</f>
        <v>2904141</v>
      </c>
      <c r="I61" s="89">
        <f>'8.ESZI kiad'!I15</f>
        <v>1441250</v>
      </c>
      <c r="J61" s="89">
        <f>'8.ESZI kiad'!J15</f>
        <v>17188587</v>
      </c>
      <c r="K61" s="89">
        <f>'8.ESZI kiad'!K15</f>
        <v>17188587</v>
      </c>
      <c r="L61" s="89">
        <f>'8.ESZI kiad'!L15</f>
        <v>11003488</v>
      </c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>
        <f>'8.ESZI kiad'!S15</f>
        <v>0</v>
      </c>
      <c r="AC61" s="89">
        <f>'8.ESZI kiad'!T15</f>
        <v>0</v>
      </c>
      <c r="AD61" s="89">
        <f>'8.ESZI kiad'!U15</f>
        <v>19832</v>
      </c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>
        <f>D61+G61+J61+M61+P61+S61+V61+Y61+AB61+AE61+AH61+AK61</f>
        <v>41776540</v>
      </c>
      <c r="AR61" s="89">
        <f>E61+H61+K61+N61+Q61+T61+W61+Z61+AC61+AF61+AI61+AL61+AO61</f>
        <v>42556667</v>
      </c>
      <c r="AS61" s="89">
        <f>F61+I61+L61+O61+R61+U61+X61+AA61+AD61+AG61+AJ61+AM61+AP61</f>
        <v>23357080</v>
      </c>
      <c r="AT61" s="114"/>
      <c r="AU61" s="114">
        <f ca="1">'4 ESZI bev'!Z19</f>
        <v>37414972</v>
      </c>
      <c r="AV61" s="114">
        <f ca="1">'4 ESZI bev'!AA19</f>
        <v>19202905</v>
      </c>
      <c r="AW61" s="113">
        <f t="shared" si="9"/>
        <v>41776540</v>
      </c>
      <c r="AX61" s="8">
        <f t="shared" si="10"/>
        <v>42556667</v>
      </c>
      <c r="AY61" s="8">
        <f t="shared" si="10"/>
        <v>23357080</v>
      </c>
    </row>
    <row r="62" spans="1:51" x14ac:dyDescent="0.25">
      <c r="A62" s="11" t="s">
        <v>222</v>
      </c>
      <c r="B62" s="5" t="s">
        <v>77</v>
      </c>
      <c r="C62" s="20" t="s">
        <v>82</v>
      </c>
      <c r="D62" s="89">
        <f>'8.ESZI kiad'!D16</f>
        <v>117255816</v>
      </c>
      <c r="E62" s="89">
        <f>'8.ESZI kiad'!E16</f>
        <v>124947449</v>
      </c>
      <c r="F62" s="89">
        <f>'8.ESZI kiad'!F16</f>
        <v>70047611</v>
      </c>
      <c r="G62" s="89">
        <f>'8.ESZI kiad'!G16</f>
        <v>15049930</v>
      </c>
      <c r="H62" s="89">
        <f>'8.ESZI kiad'!H16</f>
        <v>15773290</v>
      </c>
      <c r="I62" s="89">
        <f>'8.ESZI kiad'!I16</f>
        <v>9458215</v>
      </c>
      <c r="J62" s="89">
        <f>'8.ESZI kiad'!J16</f>
        <v>158150209</v>
      </c>
      <c r="K62" s="89">
        <f>'8.ESZI kiad'!K16</f>
        <v>158150209</v>
      </c>
      <c r="L62" s="89">
        <f>'8.ESZI kiad'!L16</f>
        <v>76188308</v>
      </c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>
        <f>'8.ESZI kiad'!S16</f>
        <v>4355939</v>
      </c>
      <c r="AC62" s="89">
        <f>'8.ESZI kiad'!T16</f>
        <v>4355939</v>
      </c>
      <c r="AD62" s="89">
        <f>'8.ESZI kiad'!U16</f>
        <v>2895893</v>
      </c>
      <c r="AE62" s="89">
        <f>'8.ESZI kiad'!V7+'8.ESZI kiad'!V8</f>
        <v>0</v>
      </c>
      <c r="AF62" s="89">
        <f>'8.ESZI kiad'!W16</f>
        <v>0</v>
      </c>
      <c r="AG62" s="89">
        <f>'8.ESZI kiad'!X16</f>
        <v>0</v>
      </c>
      <c r="AH62" s="89"/>
      <c r="AI62" s="89"/>
      <c r="AJ62" s="89"/>
      <c r="AK62" s="89"/>
      <c r="AL62" s="89"/>
      <c r="AM62" s="89"/>
      <c r="AN62" s="89"/>
      <c r="AO62" s="89"/>
      <c r="AP62" s="89"/>
      <c r="AQ62" s="89">
        <f>D62+G62+J62+M62+P62+S62+V62+Y62+AB62+AE62+AH62+AK62</f>
        <v>294811894</v>
      </c>
      <c r="AR62" s="89">
        <f>E62+H62+K62+N62+Q62+T62+W62+Z62+AC62+AF62+AI62+AL62+AO62</f>
        <v>303226887</v>
      </c>
      <c r="AS62" s="89">
        <f>F62+I62+L62+O62+R62+U62+X62+AA62+AD62+AG62+AJ62+AM62+AP62</f>
        <v>158590027</v>
      </c>
      <c r="AT62" s="114"/>
      <c r="AU62" s="114">
        <f>'4 ESZI bev'!Z20</f>
        <v>197192289</v>
      </c>
      <c r="AV62" s="114">
        <f>'4 ESZI bev'!AA20</f>
        <v>100665418</v>
      </c>
      <c r="AW62" s="113">
        <f t="shared" si="9"/>
        <v>294811894</v>
      </c>
      <c r="AX62" s="8">
        <f t="shared" si="10"/>
        <v>303226887</v>
      </c>
      <c r="AY62" s="8">
        <f t="shared" si="10"/>
        <v>158590027</v>
      </c>
    </row>
    <row r="63" spans="1:51" s="19" customFormat="1" ht="15.75" x14ac:dyDescent="0.25">
      <c r="A63" s="11" t="s">
        <v>223</v>
      </c>
      <c r="B63" s="17"/>
      <c r="C63" s="13" t="s">
        <v>83</v>
      </c>
      <c r="D63" s="91">
        <f t="shared" ref="D63:AT63" si="13">D43+D54+D57+D60</f>
        <v>505127115</v>
      </c>
      <c r="E63" s="91">
        <f t="shared" si="13"/>
        <v>529842298</v>
      </c>
      <c r="F63" s="91">
        <f t="shared" si="13"/>
        <v>258540414</v>
      </c>
      <c r="G63" s="91">
        <f t="shared" si="13"/>
        <v>60201125</v>
      </c>
      <c r="H63" s="91">
        <f t="shared" si="13"/>
        <v>62066475</v>
      </c>
      <c r="I63" s="91">
        <f t="shared" si="13"/>
        <v>32814593</v>
      </c>
      <c r="J63" s="91">
        <f t="shared" si="13"/>
        <v>471628025</v>
      </c>
      <c r="K63" s="91">
        <f t="shared" si="13"/>
        <v>474124610</v>
      </c>
      <c r="L63" s="91">
        <f t="shared" si="13"/>
        <v>216282244</v>
      </c>
      <c r="M63" s="91">
        <f t="shared" si="13"/>
        <v>23567530</v>
      </c>
      <c r="N63" s="91">
        <f t="shared" si="13"/>
        <v>23567530</v>
      </c>
      <c r="O63" s="91">
        <f t="shared" si="13"/>
        <v>7598308</v>
      </c>
      <c r="P63" s="91">
        <f t="shared" si="13"/>
        <v>28527421</v>
      </c>
      <c r="Q63" s="91">
        <f t="shared" si="13"/>
        <v>28527421</v>
      </c>
      <c r="R63" s="91">
        <f t="shared" si="13"/>
        <v>16552567</v>
      </c>
      <c r="S63" s="91">
        <f t="shared" si="13"/>
        <v>7767900</v>
      </c>
      <c r="T63" s="91">
        <f t="shared" si="13"/>
        <v>15615420</v>
      </c>
      <c r="U63" s="91">
        <f t="shared" si="13"/>
        <v>11215050</v>
      </c>
      <c r="V63" s="91">
        <f t="shared" si="13"/>
        <v>0</v>
      </c>
      <c r="W63" s="91">
        <f t="shared" si="13"/>
        <v>0</v>
      </c>
      <c r="X63" s="91">
        <f t="shared" si="13"/>
        <v>0</v>
      </c>
      <c r="Y63" s="91">
        <f t="shared" si="13"/>
        <v>0</v>
      </c>
      <c r="Z63" s="91">
        <f t="shared" si="13"/>
        <v>5730105</v>
      </c>
      <c r="AA63" s="91">
        <f t="shared" si="13"/>
        <v>5730105</v>
      </c>
      <c r="AB63" s="91">
        <f t="shared" si="13"/>
        <v>132551377</v>
      </c>
      <c r="AC63" s="91">
        <f t="shared" si="13"/>
        <v>134026377</v>
      </c>
      <c r="AD63" s="91">
        <f t="shared" si="13"/>
        <v>69928327</v>
      </c>
      <c r="AE63" s="91">
        <f t="shared" si="13"/>
        <v>1967427507</v>
      </c>
      <c r="AF63" s="91">
        <f t="shared" si="13"/>
        <v>1967427507</v>
      </c>
      <c r="AG63" s="91">
        <f t="shared" si="13"/>
        <v>86150016</v>
      </c>
      <c r="AH63" s="91">
        <f t="shared" si="13"/>
        <v>164068212</v>
      </c>
      <c r="AI63" s="91">
        <f t="shared" si="13"/>
        <v>722066845</v>
      </c>
      <c r="AJ63" s="91">
        <f t="shared" si="13"/>
        <v>0</v>
      </c>
      <c r="AK63" s="91">
        <f t="shared" si="13"/>
        <v>25341976</v>
      </c>
      <c r="AL63" s="91">
        <f t="shared" si="13"/>
        <v>25692813</v>
      </c>
      <c r="AM63" s="91">
        <f t="shared" si="13"/>
        <v>25692813</v>
      </c>
      <c r="AN63" s="91">
        <f t="shared" si="13"/>
        <v>2400000</v>
      </c>
      <c r="AO63" s="91">
        <f t="shared" si="13"/>
        <v>2400000</v>
      </c>
      <c r="AP63" s="91">
        <f t="shared" si="13"/>
        <v>1750000</v>
      </c>
      <c r="AQ63" s="91">
        <f t="shared" si="13"/>
        <v>3388608188</v>
      </c>
      <c r="AR63" s="91">
        <f t="shared" si="13"/>
        <v>3991087401</v>
      </c>
      <c r="AS63" s="91">
        <f t="shared" si="13"/>
        <v>732254437</v>
      </c>
      <c r="AT63" s="91">
        <f t="shared" ca="1" si="13"/>
        <v>562457489</v>
      </c>
      <c r="AU63" s="91">
        <f ca="1">AU54+AU57+AU60</f>
        <v>586161901</v>
      </c>
      <c r="AV63" s="91">
        <f ca="1">AV54+AV57+AV60</f>
        <v>275730266</v>
      </c>
      <c r="AW63" s="91">
        <f ca="1">AW43+AW54+AW57+AW60</f>
        <v>3951065677</v>
      </c>
      <c r="AX63" s="91">
        <f>AX43+AX54+AX57+AX60</f>
        <v>4577249302</v>
      </c>
      <c r="AY63" s="91">
        <f>AY43+AY54+AY57+AY60</f>
        <v>1007984703</v>
      </c>
    </row>
    <row r="64" spans="1:51" s="19" customFormat="1" ht="15.75" x14ac:dyDescent="0.25">
      <c r="A64" s="11" t="s">
        <v>224</v>
      </c>
      <c r="B64" s="17"/>
      <c r="C64" s="13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8"/>
      <c r="AU64" s="8"/>
      <c r="AV64" s="8"/>
      <c r="AW64" s="8"/>
      <c r="AX64" s="35"/>
      <c r="AY64" s="38"/>
    </row>
    <row r="65" spans="1:51" x14ac:dyDescent="0.25">
      <c r="A65" s="11" t="s">
        <v>225</v>
      </c>
      <c r="B65" s="16"/>
      <c r="C65" s="16" t="s">
        <v>84</v>
      </c>
      <c r="D65" s="64">
        <f>D52+D56+D58+D61</f>
        <v>374561186</v>
      </c>
      <c r="E65" s="64">
        <f t="shared" ref="E65:AY65" si="14">E52+E56+E58+E61</f>
        <v>390116823</v>
      </c>
      <c r="F65" s="64">
        <f t="shared" si="14"/>
        <v>181386221</v>
      </c>
      <c r="G65" s="64">
        <f t="shared" si="14"/>
        <v>43395324</v>
      </c>
      <c r="H65" s="64">
        <f t="shared" si="14"/>
        <v>44537314</v>
      </c>
      <c r="I65" s="64">
        <f t="shared" si="14"/>
        <v>22111031</v>
      </c>
      <c r="J65" s="64">
        <f t="shared" si="14"/>
        <v>295936684</v>
      </c>
      <c r="K65" s="64">
        <f t="shared" si="14"/>
        <v>298433269</v>
      </c>
      <c r="L65" s="64">
        <f t="shared" si="14"/>
        <v>131945137</v>
      </c>
      <c r="M65" s="64">
        <f t="shared" si="14"/>
        <v>23567530</v>
      </c>
      <c r="N65" s="64">
        <f t="shared" si="14"/>
        <v>23567530</v>
      </c>
      <c r="O65" s="64">
        <f t="shared" si="14"/>
        <v>7598308</v>
      </c>
      <c r="P65" s="64">
        <f t="shared" si="14"/>
        <v>25227421</v>
      </c>
      <c r="Q65" s="64">
        <f t="shared" si="14"/>
        <v>25227421</v>
      </c>
      <c r="R65" s="64">
        <f t="shared" si="14"/>
        <v>15702567</v>
      </c>
      <c r="S65" s="64">
        <f t="shared" si="14"/>
        <v>7767900</v>
      </c>
      <c r="T65" s="64">
        <f t="shared" si="14"/>
        <v>15387325</v>
      </c>
      <c r="U65" s="64">
        <f t="shared" si="14"/>
        <v>10986955</v>
      </c>
      <c r="V65" s="64">
        <f t="shared" si="14"/>
        <v>0</v>
      </c>
      <c r="W65" s="64">
        <f t="shared" si="14"/>
        <v>0</v>
      </c>
      <c r="X65" s="64"/>
      <c r="Y65" s="64">
        <f t="shared" si="14"/>
        <v>0</v>
      </c>
      <c r="Z65" s="64">
        <f t="shared" si="14"/>
        <v>5730105</v>
      </c>
      <c r="AA65" s="64">
        <f t="shared" si="14"/>
        <v>5730105</v>
      </c>
      <c r="AB65" s="64">
        <f t="shared" si="14"/>
        <v>128195438</v>
      </c>
      <c r="AC65" s="64">
        <f t="shared" si="14"/>
        <v>129670438</v>
      </c>
      <c r="AD65" s="64">
        <f t="shared" si="14"/>
        <v>66730438</v>
      </c>
      <c r="AE65" s="64">
        <f t="shared" si="14"/>
        <v>1946773671</v>
      </c>
      <c r="AF65" s="64">
        <f t="shared" si="14"/>
        <v>1946773671</v>
      </c>
      <c r="AG65" s="64">
        <f t="shared" si="14"/>
        <v>80250990</v>
      </c>
      <c r="AH65" s="64">
        <f t="shared" si="14"/>
        <v>164068212</v>
      </c>
      <c r="AI65" s="64">
        <f t="shared" si="14"/>
        <v>722066845</v>
      </c>
      <c r="AJ65" s="64">
        <f t="shared" si="14"/>
        <v>0</v>
      </c>
      <c r="AK65" s="64">
        <f t="shared" si="14"/>
        <v>25341976</v>
      </c>
      <c r="AL65" s="64">
        <f t="shared" si="14"/>
        <v>25692813</v>
      </c>
      <c r="AM65" s="64">
        <f t="shared" si="14"/>
        <v>25692813</v>
      </c>
      <c r="AN65" s="64">
        <f t="shared" si="14"/>
        <v>2400000</v>
      </c>
      <c r="AO65" s="64">
        <f t="shared" si="14"/>
        <v>2400000</v>
      </c>
      <c r="AP65" s="64">
        <f t="shared" si="14"/>
        <v>1750000</v>
      </c>
      <c r="AQ65" s="64">
        <f t="shared" si="14"/>
        <v>3037235342</v>
      </c>
      <c r="AR65" s="64">
        <f t="shared" si="14"/>
        <v>3629603554</v>
      </c>
      <c r="AS65" s="64">
        <f t="shared" si="14"/>
        <v>549884565</v>
      </c>
      <c r="AT65" s="64">
        <f t="shared" ca="1" si="14"/>
        <v>562457489</v>
      </c>
      <c r="AU65" s="64">
        <f t="shared" ca="1" si="14"/>
        <v>863383148</v>
      </c>
      <c r="AV65" s="64">
        <f t="shared" ca="1" si="14"/>
        <v>398472488</v>
      </c>
      <c r="AW65" s="64">
        <f t="shared" ca="1" si="14"/>
        <v>3599692831</v>
      </c>
      <c r="AX65" s="64">
        <f t="shared" si="14"/>
        <v>4215765455</v>
      </c>
      <c r="AY65" s="64">
        <f t="shared" si="14"/>
        <v>825614831</v>
      </c>
    </row>
    <row r="66" spans="1:51" x14ac:dyDescent="0.25">
      <c r="A66" s="11" t="s">
        <v>226</v>
      </c>
      <c r="B66" s="16"/>
      <c r="C66" s="16" t="s">
        <v>112</v>
      </c>
      <c r="D66" s="64">
        <f>D55</f>
        <v>12890113</v>
      </c>
      <c r="E66" s="64">
        <f t="shared" ref="E66:AY66" si="15">E55</f>
        <v>14358026</v>
      </c>
      <c r="F66" s="64">
        <f t="shared" si="15"/>
        <v>7106582</v>
      </c>
      <c r="G66" s="64">
        <f t="shared" si="15"/>
        <v>1755871</v>
      </c>
      <c r="H66" s="64">
        <f t="shared" si="15"/>
        <v>1755871</v>
      </c>
      <c r="I66" s="64">
        <f t="shared" si="15"/>
        <v>1245347</v>
      </c>
      <c r="J66" s="64">
        <f t="shared" si="15"/>
        <v>1173315</v>
      </c>
      <c r="K66" s="64">
        <f t="shared" si="15"/>
        <v>1173315</v>
      </c>
      <c r="L66" s="64">
        <f t="shared" si="15"/>
        <v>503670</v>
      </c>
      <c r="M66" s="64">
        <f t="shared" si="15"/>
        <v>0</v>
      </c>
      <c r="N66" s="64">
        <f t="shared" si="15"/>
        <v>0</v>
      </c>
      <c r="O66" s="64">
        <f t="shared" si="15"/>
        <v>0</v>
      </c>
      <c r="P66" s="64">
        <f t="shared" si="15"/>
        <v>0</v>
      </c>
      <c r="Q66" s="64">
        <f t="shared" si="15"/>
        <v>0</v>
      </c>
      <c r="R66" s="64">
        <f t="shared" si="15"/>
        <v>0</v>
      </c>
      <c r="S66" s="64">
        <f t="shared" si="15"/>
        <v>0</v>
      </c>
      <c r="T66" s="64">
        <f t="shared" si="15"/>
        <v>228095</v>
      </c>
      <c r="U66" s="64">
        <f t="shared" si="15"/>
        <v>228095</v>
      </c>
      <c r="V66" s="64">
        <f t="shared" si="15"/>
        <v>0</v>
      </c>
      <c r="W66" s="64">
        <f t="shared" si="15"/>
        <v>0</v>
      </c>
      <c r="X66" s="64"/>
      <c r="Y66" s="64">
        <f t="shared" si="15"/>
        <v>0</v>
      </c>
      <c r="Z66" s="64">
        <f t="shared" si="15"/>
        <v>0</v>
      </c>
      <c r="AA66" s="64">
        <f t="shared" si="15"/>
        <v>0</v>
      </c>
      <c r="AB66" s="64">
        <f t="shared" si="15"/>
        <v>0</v>
      </c>
      <c r="AC66" s="64">
        <f t="shared" si="15"/>
        <v>0</v>
      </c>
      <c r="AD66" s="64">
        <f t="shared" si="15"/>
        <v>0</v>
      </c>
      <c r="AE66" s="64">
        <f t="shared" si="15"/>
        <v>0</v>
      </c>
      <c r="AF66" s="64">
        <f t="shared" si="15"/>
        <v>0</v>
      </c>
      <c r="AG66" s="64">
        <f t="shared" si="15"/>
        <v>0</v>
      </c>
      <c r="AH66" s="64">
        <f t="shared" si="15"/>
        <v>0</v>
      </c>
      <c r="AI66" s="64">
        <f t="shared" si="15"/>
        <v>0</v>
      </c>
      <c r="AJ66" s="64">
        <f t="shared" si="15"/>
        <v>0</v>
      </c>
      <c r="AK66" s="64">
        <f t="shared" si="15"/>
        <v>0</v>
      </c>
      <c r="AL66" s="64">
        <f t="shared" si="15"/>
        <v>0</v>
      </c>
      <c r="AM66" s="64">
        <f t="shared" si="15"/>
        <v>0</v>
      </c>
      <c r="AN66" s="64">
        <f t="shared" si="15"/>
        <v>0</v>
      </c>
      <c r="AO66" s="64">
        <f t="shared" si="15"/>
        <v>0</v>
      </c>
      <c r="AP66" s="64">
        <f t="shared" si="15"/>
        <v>0</v>
      </c>
      <c r="AQ66" s="64">
        <f t="shared" si="15"/>
        <v>15819299</v>
      </c>
      <c r="AR66" s="64">
        <f t="shared" si="15"/>
        <v>17515307</v>
      </c>
      <c r="AS66" s="64">
        <f t="shared" si="15"/>
        <v>9083694</v>
      </c>
      <c r="AT66" s="64">
        <f t="shared" si="15"/>
        <v>0</v>
      </c>
      <c r="AU66" s="64">
        <f t="shared" si="15"/>
        <v>111748365</v>
      </c>
      <c r="AV66" s="64">
        <f t="shared" si="15"/>
        <v>52322626</v>
      </c>
      <c r="AW66" s="64">
        <f t="shared" si="15"/>
        <v>15819299</v>
      </c>
      <c r="AX66" s="64">
        <f t="shared" si="15"/>
        <v>17515307</v>
      </c>
      <c r="AY66" s="64">
        <f t="shared" si="15"/>
        <v>9083694</v>
      </c>
    </row>
    <row r="67" spans="1:51" x14ac:dyDescent="0.25">
      <c r="A67" s="11" t="s">
        <v>227</v>
      </c>
      <c r="B67" s="16"/>
      <c r="C67" s="16" t="s">
        <v>85</v>
      </c>
      <c r="D67" s="64">
        <f>D53+D59+D62</f>
        <v>117675816</v>
      </c>
      <c r="E67" s="64">
        <f t="shared" ref="E67:AY67" si="16">E53+E59+E62</f>
        <v>125367449</v>
      </c>
      <c r="F67" s="64">
        <f t="shared" si="16"/>
        <v>70047611</v>
      </c>
      <c r="G67" s="64">
        <f t="shared" si="16"/>
        <v>15049930</v>
      </c>
      <c r="H67" s="64">
        <f t="shared" si="16"/>
        <v>15773290</v>
      </c>
      <c r="I67" s="64">
        <f t="shared" si="16"/>
        <v>9458215</v>
      </c>
      <c r="J67" s="64">
        <f t="shared" si="16"/>
        <v>174518026</v>
      </c>
      <c r="K67" s="64">
        <f t="shared" si="16"/>
        <v>174518026</v>
      </c>
      <c r="L67" s="64">
        <f t="shared" si="16"/>
        <v>83833437</v>
      </c>
      <c r="M67" s="64">
        <f t="shared" si="16"/>
        <v>0</v>
      </c>
      <c r="N67" s="64">
        <f t="shared" si="16"/>
        <v>0</v>
      </c>
      <c r="O67" s="64">
        <f t="shared" si="16"/>
        <v>0</v>
      </c>
      <c r="P67" s="64">
        <f t="shared" si="16"/>
        <v>3300000</v>
      </c>
      <c r="Q67" s="64">
        <f t="shared" si="16"/>
        <v>3300000</v>
      </c>
      <c r="R67" s="64">
        <f t="shared" si="16"/>
        <v>850000</v>
      </c>
      <c r="S67" s="64">
        <f t="shared" si="16"/>
        <v>0</v>
      </c>
      <c r="T67" s="64">
        <f t="shared" si="16"/>
        <v>0</v>
      </c>
      <c r="U67" s="64">
        <f t="shared" si="16"/>
        <v>0</v>
      </c>
      <c r="V67" s="64">
        <f t="shared" si="16"/>
        <v>0</v>
      </c>
      <c r="W67" s="64">
        <f t="shared" si="16"/>
        <v>0</v>
      </c>
      <c r="X67" s="64"/>
      <c r="Y67" s="64">
        <f t="shared" si="16"/>
        <v>0</v>
      </c>
      <c r="Z67" s="64">
        <f t="shared" si="16"/>
        <v>0</v>
      </c>
      <c r="AA67" s="64">
        <f t="shared" si="16"/>
        <v>0</v>
      </c>
      <c r="AB67" s="64">
        <f t="shared" si="16"/>
        <v>4355939</v>
      </c>
      <c r="AC67" s="64">
        <f t="shared" si="16"/>
        <v>4355939</v>
      </c>
      <c r="AD67" s="64">
        <f t="shared" si="16"/>
        <v>3197889</v>
      </c>
      <c r="AE67" s="64">
        <f t="shared" si="16"/>
        <v>20653836</v>
      </c>
      <c r="AF67" s="64">
        <f t="shared" si="16"/>
        <v>20653836</v>
      </c>
      <c r="AG67" s="64">
        <f t="shared" si="16"/>
        <v>5899026</v>
      </c>
      <c r="AH67" s="64">
        <f t="shared" si="16"/>
        <v>0</v>
      </c>
      <c r="AI67" s="64">
        <f t="shared" si="16"/>
        <v>0</v>
      </c>
      <c r="AJ67" s="64">
        <f t="shared" si="16"/>
        <v>0</v>
      </c>
      <c r="AK67" s="64">
        <f t="shared" si="16"/>
        <v>0</v>
      </c>
      <c r="AL67" s="64">
        <f t="shared" si="16"/>
        <v>0</v>
      </c>
      <c r="AM67" s="64">
        <f t="shared" si="16"/>
        <v>0</v>
      </c>
      <c r="AN67" s="64">
        <f t="shared" si="16"/>
        <v>0</v>
      </c>
      <c r="AO67" s="64">
        <f t="shared" si="16"/>
        <v>0</v>
      </c>
      <c r="AP67" s="64">
        <f t="shared" si="16"/>
        <v>0</v>
      </c>
      <c r="AQ67" s="64">
        <f>AQ53+AQ59+AQ62</f>
        <v>335553547</v>
      </c>
      <c r="AR67" s="64">
        <f t="shared" si="16"/>
        <v>343968540</v>
      </c>
      <c r="AS67" s="64">
        <f t="shared" si="16"/>
        <v>173286178</v>
      </c>
      <c r="AT67" s="64">
        <f t="shared" si="16"/>
        <v>0</v>
      </c>
      <c r="AU67" s="64">
        <f t="shared" si="16"/>
        <v>197192289</v>
      </c>
      <c r="AV67" s="64">
        <f t="shared" si="16"/>
        <v>100665418</v>
      </c>
      <c r="AW67" s="64">
        <f t="shared" si="16"/>
        <v>335553547</v>
      </c>
      <c r="AX67" s="64">
        <f t="shared" si="16"/>
        <v>343968540</v>
      </c>
      <c r="AY67" s="64">
        <f t="shared" si="16"/>
        <v>173286178</v>
      </c>
    </row>
    <row r="68" spans="1:51" s="19" customFormat="1" x14ac:dyDescent="0.25">
      <c r="A68" s="11" t="s">
        <v>228</v>
      </c>
      <c r="B68" s="22"/>
      <c r="C68" s="22" t="s">
        <v>86</v>
      </c>
      <c r="D68" s="38">
        <f>SUM(D65:D67)</f>
        <v>505127115</v>
      </c>
      <c r="E68" s="38">
        <f>SUM(E65:E67)</f>
        <v>529842298</v>
      </c>
      <c r="F68" s="38">
        <f>SUM(F65:F67)</f>
        <v>258540414</v>
      </c>
      <c r="G68" s="38">
        <f t="shared" ref="G68:AT68" si="17">SUM(G65:G67)</f>
        <v>60201125</v>
      </c>
      <c r="H68" s="38">
        <f t="shared" ref="H68:I68" si="18">SUM(H65:H67)</f>
        <v>62066475</v>
      </c>
      <c r="I68" s="38">
        <f t="shared" si="18"/>
        <v>32814593</v>
      </c>
      <c r="J68" s="38">
        <f t="shared" si="17"/>
        <v>471628025</v>
      </c>
      <c r="K68" s="38">
        <f t="shared" ref="K68:L68" si="19">SUM(K65:K67)</f>
        <v>474124610</v>
      </c>
      <c r="L68" s="38">
        <f t="shared" si="19"/>
        <v>216282244</v>
      </c>
      <c r="M68" s="38">
        <f t="shared" si="17"/>
        <v>23567530</v>
      </c>
      <c r="N68" s="38">
        <f t="shared" ref="N68:O68" si="20">SUM(N65:N67)</f>
        <v>23567530</v>
      </c>
      <c r="O68" s="38">
        <f t="shared" si="20"/>
        <v>7598308</v>
      </c>
      <c r="P68" s="38">
        <f t="shared" si="17"/>
        <v>28527421</v>
      </c>
      <c r="Q68" s="38">
        <f t="shared" ref="Q68:R68" si="21">SUM(Q65:Q67)</f>
        <v>28527421</v>
      </c>
      <c r="R68" s="38">
        <f t="shared" si="21"/>
        <v>16552567</v>
      </c>
      <c r="S68" s="38">
        <f t="shared" si="17"/>
        <v>7767900</v>
      </c>
      <c r="T68" s="38">
        <f t="shared" ref="T68:U68" si="22">SUM(T65:T67)</f>
        <v>15615420</v>
      </c>
      <c r="U68" s="38">
        <f t="shared" si="22"/>
        <v>11215050</v>
      </c>
      <c r="V68" s="38">
        <f t="shared" si="17"/>
        <v>0</v>
      </c>
      <c r="W68" s="38">
        <f t="shared" ref="W68" si="23">SUM(W65:W67)</f>
        <v>0</v>
      </c>
      <c r="X68" s="38"/>
      <c r="Y68" s="38">
        <f t="shared" si="17"/>
        <v>0</v>
      </c>
      <c r="Z68" s="38">
        <f t="shared" ref="Z68:AA68" si="24">SUM(Z65:Z67)</f>
        <v>5730105</v>
      </c>
      <c r="AA68" s="38">
        <f t="shared" si="24"/>
        <v>5730105</v>
      </c>
      <c r="AB68" s="38">
        <f t="shared" si="17"/>
        <v>132551377</v>
      </c>
      <c r="AC68" s="38">
        <f t="shared" ref="AC68:AD68" si="25">SUM(AC65:AC67)</f>
        <v>134026377</v>
      </c>
      <c r="AD68" s="38">
        <f t="shared" si="25"/>
        <v>69928327</v>
      </c>
      <c r="AE68" s="38">
        <f t="shared" si="17"/>
        <v>1967427507</v>
      </c>
      <c r="AF68" s="38">
        <f t="shared" ref="AF68:AG68" si="26">SUM(AF65:AF67)</f>
        <v>1967427507</v>
      </c>
      <c r="AG68" s="38">
        <f t="shared" si="26"/>
        <v>86150016</v>
      </c>
      <c r="AH68" s="38">
        <f t="shared" si="17"/>
        <v>164068212</v>
      </c>
      <c r="AI68" s="340">
        <f t="shared" ref="AI68:AJ68" si="27">SUM(AI65:AI67)</f>
        <v>722066845</v>
      </c>
      <c r="AJ68" s="340">
        <f t="shared" si="27"/>
        <v>0</v>
      </c>
      <c r="AK68" s="38">
        <f t="shared" si="17"/>
        <v>25341976</v>
      </c>
      <c r="AL68" s="38">
        <f>SUM(AL65:AL67)</f>
        <v>25692813</v>
      </c>
      <c r="AM68" s="38">
        <f>SUM(AM65:AM67)</f>
        <v>25692813</v>
      </c>
      <c r="AN68" s="38">
        <f t="shared" ref="AN68:AP68" si="28">SUM(AN65:AN67)</f>
        <v>2400000</v>
      </c>
      <c r="AO68" s="38">
        <f t="shared" si="28"/>
        <v>2400000</v>
      </c>
      <c r="AP68" s="38">
        <f t="shared" si="28"/>
        <v>1750000</v>
      </c>
      <c r="AQ68" s="38">
        <f>SUM(AQ65:AQ67)</f>
        <v>3388608188</v>
      </c>
      <c r="AR68" s="38">
        <f>SUM(AR65:AR67)</f>
        <v>3991087401</v>
      </c>
      <c r="AS68" s="38">
        <f>SUM(AS65:AS67)</f>
        <v>732254437</v>
      </c>
      <c r="AT68" s="38">
        <f t="shared" ca="1" si="17"/>
        <v>562457489</v>
      </c>
      <c r="AU68" s="38">
        <f t="shared" ref="AU68:AV68" ca="1" si="29">SUM(AU65:AU67)</f>
        <v>1172323802</v>
      </c>
      <c r="AV68" s="38">
        <f t="shared" ca="1" si="29"/>
        <v>551460532</v>
      </c>
      <c r="AW68" s="38"/>
      <c r="AX68" s="36"/>
      <c r="AY68" s="383"/>
    </row>
    <row r="69" spans="1:51" x14ac:dyDescent="0.25">
      <c r="AQ69" s="123"/>
      <c r="AT69" s="21"/>
      <c r="AU69" s="21"/>
      <c r="AV69" s="21"/>
      <c r="AW69" s="21"/>
      <c r="AX69" s="21"/>
    </row>
    <row r="70" spans="1:51" x14ac:dyDescent="0.25">
      <c r="J70" s="135"/>
      <c r="P70" s="21"/>
      <c r="AB70" s="21"/>
      <c r="AL70" s="21"/>
      <c r="AM70" s="21"/>
      <c r="AN70" s="21"/>
      <c r="AO70" s="21"/>
      <c r="AP70" s="21"/>
      <c r="AQ70" s="21"/>
      <c r="AR70" s="21"/>
      <c r="AS70" s="21"/>
      <c r="AX70" s="21">
        <f ca="1">AX63-AU63</f>
        <v>3991087401</v>
      </c>
    </row>
    <row r="71" spans="1:51" x14ac:dyDescent="0.25">
      <c r="P71" s="21"/>
      <c r="AQ71" s="21"/>
      <c r="AR71" s="21"/>
      <c r="AS71" s="21"/>
      <c r="AU71" s="21"/>
      <c r="AV71" s="21">
        <f>706561624+25692813</f>
        <v>732254437</v>
      </c>
      <c r="AW71" s="21"/>
      <c r="AX71" s="21"/>
    </row>
    <row r="72" spans="1:51" x14ac:dyDescent="0.25">
      <c r="P72" s="21"/>
      <c r="AK72" s="52"/>
      <c r="AL72" s="52"/>
      <c r="AM72" s="52"/>
      <c r="AN72" s="52"/>
      <c r="AO72" s="52"/>
      <c r="AP72" s="52"/>
      <c r="AQ72" s="52"/>
      <c r="AU72" s="21"/>
      <c r="AV72" s="21"/>
      <c r="AW72" s="21">
        <f ca="1">AY63-AV63</f>
        <v>732254437</v>
      </c>
    </row>
    <row r="73" spans="1:51" x14ac:dyDescent="0.25">
      <c r="AK73" s="52"/>
      <c r="AL73" s="52"/>
      <c r="AM73" s="52"/>
      <c r="AN73" s="52"/>
      <c r="AO73" s="52"/>
      <c r="AP73" s="52"/>
      <c r="AQ73" s="52"/>
      <c r="AU73" s="21"/>
      <c r="AV73" s="21"/>
    </row>
    <row r="74" spans="1:51" x14ac:dyDescent="0.25">
      <c r="AB74" s="19"/>
      <c r="AC74" s="19"/>
      <c r="AD74" s="19"/>
      <c r="AK74" s="52"/>
      <c r="AL74" s="52"/>
      <c r="AM74" s="52"/>
      <c r="AN74" s="52"/>
      <c r="AO74" s="52"/>
      <c r="AP74" s="52"/>
      <c r="AQ74" s="53"/>
    </row>
  </sheetData>
  <mergeCells count="33">
    <mergeCell ref="V5:X5"/>
    <mergeCell ref="Y4:AA4"/>
    <mergeCell ref="Y5:AA5"/>
    <mergeCell ref="AB4:AD4"/>
    <mergeCell ref="AB5:AD5"/>
    <mergeCell ref="AE5:AG5"/>
    <mergeCell ref="AH4:AJ4"/>
    <mergeCell ref="AH5:AJ5"/>
    <mergeCell ref="AK4:AM4"/>
    <mergeCell ref="AK5:AM5"/>
    <mergeCell ref="D5:F5"/>
    <mergeCell ref="G4:I4"/>
    <mergeCell ref="G5:I5"/>
    <mergeCell ref="S5:U5"/>
    <mergeCell ref="J5:L5"/>
    <mergeCell ref="M5:O5"/>
    <mergeCell ref="P4:R4"/>
    <mergeCell ref="P5:R5"/>
    <mergeCell ref="J4:L4"/>
    <mergeCell ref="S4:U4"/>
    <mergeCell ref="AN5:AP5"/>
    <mergeCell ref="AQ4:AS4"/>
    <mergeCell ref="AQ5:AS5"/>
    <mergeCell ref="AT4:AV4"/>
    <mergeCell ref="AT5:AV5"/>
    <mergeCell ref="AH1:AW1"/>
    <mergeCell ref="B2:M2"/>
    <mergeCell ref="AN4:AP4"/>
    <mergeCell ref="D4:F4"/>
    <mergeCell ref="M4:O4"/>
    <mergeCell ref="V4:X4"/>
    <mergeCell ref="AE4:AG4"/>
    <mergeCell ref="C3:AY3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W43 AU63" formula="1"/>
    <ignoredError sqref="Y57:Z57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G24"/>
  <sheetViews>
    <sheetView topLeftCell="G1" zoomScaleNormal="100" zoomScaleSheetLayoutView="100" workbookViewId="0">
      <selection activeCell="AG15" sqref="AG15"/>
    </sheetView>
  </sheetViews>
  <sheetFormatPr defaultColWidth="9.28515625" defaultRowHeight="15" x14ac:dyDescent="0.25"/>
  <cols>
    <col min="1" max="1" width="5.28515625" style="43" customWidth="1"/>
    <col min="2" max="2" width="11.28515625" style="60" bestFit="1" customWidth="1"/>
    <col min="3" max="3" width="35.85546875" style="43" customWidth="1"/>
    <col min="4" max="4" width="12.28515625" style="43" customWidth="1"/>
    <col min="5" max="5" width="12.42578125" style="43" bestFit="1" customWidth="1"/>
    <col min="6" max="6" width="12.42578125" style="43" customWidth="1"/>
    <col min="7" max="7" width="13.7109375" style="43" bestFit="1" customWidth="1"/>
    <col min="8" max="8" width="11.28515625" style="43" bestFit="1" customWidth="1"/>
    <col min="9" max="9" width="11.28515625" style="43" customWidth="1"/>
    <col min="10" max="10" width="10.5703125" style="43" bestFit="1" customWidth="1"/>
    <col min="11" max="12" width="12" style="43" customWidth="1"/>
    <col min="13" max="13" width="8.7109375" style="43" customWidth="1"/>
    <col min="14" max="14" width="7.85546875" style="43" bestFit="1" customWidth="1"/>
    <col min="15" max="15" width="7.85546875" style="43" customWidth="1"/>
    <col min="16" max="16" width="8.28515625" style="43" customWidth="1"/>
    <col min="17" max="18" width="8.5703125" style="43" customWidth="1"/>
    <col min="19" max="19" width="8.42578125" style="43" customWidth="1"/>
    <col min="20" max="20" width="8.42578125" style="43" bestFit="1" customWidth="1"/>
    <col min="21" max="22" width="8.42578125" style="43" customWidth="1"/>
    <col min="23" max="23" width="8.140625" style="43" bestFit="1" customWidth="1"/>
    <col min="24" max="24" width="8.140625" style="43" customWidth="1"/>
    <col min="25" max="25" width="9.28515625" style="43" customWidth="1"/>
    <col min="26" max="26" width="8" style="43" bestFit="1" customWidth="1"/>
    <col min="27" max="27" width="8" style="43" customWidth="1"/>
    <col min="28" max="28" width="8.28515625" style="43" customWidth="1"/>
    <col min="29" max="29" width="8.140625" style="43" bestFit="1" customWidth="1"/>
    <col min="30" max="30" width="8.140625" style="43" customWidth="1"/>
    <col min="31" max="31" width="12.42578125" style="43" bestFit="1" customWidth="1"/>
    <col min="32" max="32" width="12.5703125" style="43" customWidth="1"/>
    <col min="33" max="33" width="12.7109375" style="43" customWidth="1"/>
    <col min="34" max="16384" width="9.28515625" style="43"/>
  </cols>
  <sheetData>
    <row r="1" spans="1:33" ht="23.25" customHeight="1" x14ac:dyDescent="0.25">
      <c r="T1" s="493" t="s">
        <v>393</v>
      </c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</row>
    <row r="2" spans="1:33" x14ac:dyDescent="0.25">
      <c r="AE2" s="327"/>
    </row>
    <row r="3" spans="1:33" ht="48" customHeight="1" x14ac:dyDescent="0.25">
      <c r="A3" s="324"/>
      <c r="B3" s="325"/>
      <c r="C3" s="494" t="s">
        <v>394</v>
      </c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326"/>
    </row>
    <row r="4" spans="1:33" ht="48" customHeight="1" x14ac:dyDescent="0.25">
      <c r="A4" s="323" t="s">
        <v>52</v>
      </c>
      <c r="B4" s="323" t="s">
        <v>60</v>
      </c>
      <c r="C4" s="323" t="s">
        <v>53</v>
      </c>
      <c r="D4" s="496" t="s">
        <v>54</v>
      </c>
      <c r="E4" s="495"/>
      <c r="F4" s="497"/>
      <c r="G4" s="496" t="s">
        <v>55</v>
      </c>
      <c r="H4" s="495"/>
      <c r="I4" s="497"/>
      <c r="J4" s="496" t="s">
        <v>62</v>
      </c>
      <c r="K4" s="495"/>
      <c r="L4" s="497"/>
      <c r="M4" s="496" t="s">
        <v>64</v>
      </c>
      <c r="N4" s="495"/>
      <c r="O4" s="497"/>
      <c r="P4" s="496" t="s">
        <v>65</v>
      </c>
      <c r="Q4" s="495"/>
      <c r="R4" s="497"/>
      <c r="S4" s="496" t="s">
        <v>66</v>
      </c>
      <c r="T4" s="495"/>
      <c r="U4" s="497"/>
      <c r="V4" s="496" t="s">
        <v>67</v>
      </c>
      <c r="W4" s="495"/>
      <c r="X4" s="497"/>
      <c r="Y4" s="496" t="s">
        <v>99</v>
      </c>
      <c r="Z4" s="495"/>
      <c r="AA4" s="497"/>
      <c r="AB4" s="496" t="s">
        <v>93</v>
      </c>
      <c r="AC4" s="495"/>
      <c r="AD4" s="497"/>
      <c r="AE4" s="496" t="s">
        <v>180</v>
      </c>
      <c r="AF4" s="495"/>
      <c r="AG4" s="497"/>
    </row>
    <row r="5" spans="1:33" ht="57.75" customHeight="1" x14ac:dyDescent="0.25">
      <c r="A5" s="104" t="s">
        <v>185</v>
      </c>
      <c r="B5" s="104" t="s">
        <v>108</v>
      </c>
      <c r="C5" s="61" t="s">
        <v>69</v>
      </c>
      <c r="D5" s="498" t="s">
        <v>41</v>
      </c>
      <c r="E5" s="499"/>
      <c r="F5" s="500"/>
      <c r="G5" s="498" t="s">
        <v>100</v>
      </c>
      <c r="H5" s="499"/>
      <c r="I5" s="500"/>
      <c r="J5" s="498" t="s">
        <v>42</v>
      </c>
      <c r="K5" s="499"/>
      <c r="L5" s="500"/>
      <c r="M5" s="498" t="s">
        <v>101</v>
      </c>
      <c r="N5" s="499"/>
      <c r="O5" s="500"/>
      <c r="P5" s="498" t="s">
        <v>43</v>
      </c>
      <c r="Q5" s="499"/>
      <c r="R5" s="500"/>
      <c r="S5" s="498" t="s">
        <v>247</v>
      </c>
      <c r="T5" s="499"/>
      <c r="U5" s="500"/>
      <c r="V5" s="498" t="s">
        <v>46</v>
      </c>
      <c r="W5" s="499"/>
      <c r="X5" s="500"/>
      <c r="Y5" s="498" t="s">
        <v>104</v>
      </c>
      <c r="Z5" s="499"/>
      <c r="AA5" s="500"/>
      <c r="AB5" s="498" t="s">
        <v>105</v>
      </c>
      <c r="AC5" s="499"/>
      <c r="AD5" s="500"/>
      <c r="AE5" s="498" t="s">
        <v>83</v>
      </c>
      <c r="AF5" s="499"/>
      <c r="AG5" s="500"/>
    </row>
    <row r="6" spans="1:33" ht="57" x14ac:dyDescent="0.25">
      <c r="A6" s="44"/>
      <c r="B6" s="57"/>
      <c r="C6" s="61" t="s">
        <v>89</v>
      </c>
      <c r="D6" s="48" t="s">
        <v>385</v>
      </c>
      <c r="E6" s="14" t="s">
        <v>382</v>
      </c>
      <c r="F6" s="14" t="s">
        <v>416</v>
      </c>
      <c r="G6" s="48" t="s">
        <v>385</v>
      </c>
      <c r="H6" s="14" t="s">
        <v>382</v>
      </c>
      <c r="I6" s="14" t="s">
        <v>416</v>
      </c>
      <c r="J6" s="48" t="s">
        <v>385</v>
      </c>
      <c r="K6" s="14" t="s">
        <v>382</v>
      </c>
      <c r="L6" s="14" t="s">
        <v>416</v>
      </c>
      <c r="M6" s="48" t="s">
        <v>385</v>
      </c>
      <c r="N6" s="14" t="s">
        <v>382</v>
      </c>
      <c r="O6" s="14" t="s">
        <v>416</v>
      </c>
      <c r="P6" s="48" t="s">
        <v>385</v>
      </c>
      <c r="Q6" s="14" t="s">
        <v>382</v>
      </c>
      <c r="R6" s="14" t="s">
        <v>416</v>
      </c>
      <c r="S6" s="48" t="s">
        <v>385</v>
      </c>
      <c r="T6" s="14" t="s">
        <v>382</v>
      </c>
      <c r="U6" s="14" t="s">
        <v>416</v>
      </c>
      <c r="V6" s="48" t="s">
        <v>385</v>
      </c>
      <c r="W6" s="14" t="s">
        <v>382</v>
      </c>
      <c r="X6" s="14" t="s">
        <v>416</v>
      </c>
      <c r="Y6" s="48" t="s">
        <v>385</v>
      </c>
      <c r="Z6" s="14" t="s">
        <v>382</v>
      </c>
      <c r="AA6" s="14" t="s">
        <v>416</v>
      </c>
      <c r="AB6" s="48" t="s">
        <v>385</v>
      </c>
      <c r="AC6" s="14" t="s">
        <v>382</v>
      </c>
      <c r="AD6" s="14" t="s">
        <v>416</v>
      </c>
      <c r="AE6" s="48" t="s">
        <v>385</v>
      </c>
      <c r="AF6" s="14" t="s">
        <v>382</v>
      </c>
      <c r="AG6" s="384" t="s">
        <v>416</v>
      </c>
    </row>
    <row r="7" spans="1:33" x14ac:dyDescent="0.25">
      <c r="A7" s="44" t="s">
        <v>1</v>
      </c>
      <c r="B7" s="44" t="s">
        <v>76</v>
      </c>
      <c r="C7" s="62" t="s">
        <v>230</v>
      </c>
      <c r="D7" s="83">
        <v>90230793</v>
      </c>
      <c r="E7" s="83">
        <v>92506185</v>
      </c>
      <c r="F7" s="83">
        <v>43756982</v>
      </c>
      <c r="G7" s="83">
        <v>12291097</v>
      </c>
      <c r="H7" s="83">
        <v>12433497</v>
      </c>
      <c r="I7" s="83">
        <v>6540321</v>
      </c>
      <c r="J7" s="83">
        <v>8213206</v>
      </c>
      <c r="K7" s="83">
        <v>10143206</v>
      </c>
      <c r="L7" s="83">
        <v>3525693</v>
      </c>
      <c r="M7" s="84"/>
      <c r="N7" s="84"/>
      <c r="O7" s="84"/>
      <c r="P7" s="82"/>
      <c r="Q7" s="82"/>
      <c r="R7" s="82"/>
      <c r="S7" s="82"/>
      <c r="T7" s="82">
        <v>205000</v>
      </c>
      <c r="U7" s="82">
        <v>55061</v>
      </c>
      <c r="V7" s="82"/>
      <c r="W7" s="82"/>
      <c r="X7" s="82"/>
      <c r="Y7" s="82"/>
      <c r="Z7" s="82"/>
      <c r="AA7" s="82"/>
      <c r="AB7" s="84"/>
      <c r="AC7" s="84"/>
      <c r="AD7" s="84"/>
      <c r="AE7" s="95">
        <f>D7+G7+J7+M7+P7+S7+V7+Y7+AB7</f>
        <v>110735096</v>
      </c>
      <c r="AF7" s="95">
        <f>E7+H7+K7+N7+Q7+T7+W7+Z7</f>
        <v>115287888</v>
      </c>
      <c r="AG7" s="95">
        <f>F7+I7+L7+O7+R7+U7+X7+AA7</f>
        <v>53878057</v>
      </c>
    </row>
    <row r="8" spans="1:33" x14ac:dyDescent="0.25">
      <c r="A8" s="44" t="s">
        <v>3</v>
      </c>
      <c r="B8" s="44" t="s">
        <v>116</v>
      </c>
      <c r="C8" s="62" t="s">
        <v>112</v>
      </c>
      <c r="D8" s="83">
        <v>12890113</v>
      </c>
      <c r="E8" s="83">
        <v>13358026</v>
      </c>
      <c r="F8" s="83">
        <v>6250998</v>
      </c>
      <c r="G8" s="83">
        <v>1755871</v>
      </c>
      <c r="H8" s="83">
        <v>1755871</v>
      </c>
      <c r="I8" s="83">
        <v>934332</v>
      </c>
      <c r="J8" s="83">
        <v>1173315</v>
      </c>
      <c r="K8" s="83">
        <v>1173315</v>
      </c>
      <c r="L8" s="83">
        <v>503670</v>
      </c>
      <c r="M8" s="84"/>
      <c r="N8" s="84"/>
      <c r="O8" s="84"/>
      <c r="P8" s="82"/>
      <c r="Q8" s="82">
        <v>228095</v>
      </c>
      <c r="R8" s="82">
        <v>228095</v>
      </c>
      <c r="S8" s="82"/>
      <c r="T8" s="82"/>
      <c r="U8" s="82"/>
      <c r="V8" s="82"/>
      <c r="W8" s="82"/>
      <c r="X8" s="82"/>
      <c r="Y8" s="82"/>
      <c r="Z8" s="82"/>
      <c r="AA8" s="82"/>
      <c r="AB8" s="84"/>
      <c r="AC8" s="84"/>
      <c r="AD8" s="84"/>
      <c r="AE8" s="95">
        <f>D8+G8+J8+P8+S8+V8</f>
        <v>15819299</v>
      </c>
      <c r="AF8" s="95">
        <f>E8+H8+K8+N8+Q8+T8+W8+Z8</f>
        <v>16515307</v>
      </c>
      <c r="AG8" s="95">
        <f>F8+I8+L8+O8+R8+U8+X8+AA8</f>
        <v>7917095</v>
      </c>
    </row>
    <row r="9" spans="1:33" x14ac:dyDescent="0.25">
      <c r="A9" s="44" t="s">
        <v>4</v>
      </c>
      <c r="B9" s="44"/>
      <c r="C9" s="62" t="s">
        <v>206</v>
      </c>
      <c r="D9" s="83"/>
      <c r="E9" s="83"/>
      <c r="F9" s="83"/>
      <c r="G9" s="83"/>
      <c r="H9" s="83"/>
      <c r="I9" s="83"/>
      <c r="J9" s="83"/>
      <c r="K9" s="83"/>
      <c r="L9" s="83"/>
      <c r="M9" s="84"/>
      <c r="N9" s="84"/>
      <c r="O9" s="84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4"/>
      <c r="AC9" s="84"/>
      <c r="AD9" s="84"/>
      <c r="AE9" s="95">
        <f t="shared" ref="AE9:AE10" si="0">SUM(D9:AC9)</f>
        <v>0</v>
      </c>
      <c r="AF9" s="95">
        <f t="shared" ref="AF9:AG13" si="1">E9+H9+K9+N9+Q9+T9+W9+Z9</f>
        <v>0</v>
      </c>
      <c r="AG9" s="95">
        <f t="shared" si="1"/>
        <v>0</v>
      </c>
    </row>
    <row r="10" spans="1:33" ht="27.75" customHeight="1" x14ac:dyDescent="0.25">
      <c r="A10" s="44" t="s">
        <v>6</v>
      </c>
      <c r="B10" s="44"/>
      <c r="C10" s="328" t="s">
        <v>207</v>
      </c>
      <c r="D10" s="83"/>
      <c r="E10" s="83">
        <v>1000000</v>
      </c>
      <c r="F10" s="83">
        <v>855584</v>
      </c>
      <c r="G10" s="83"/>
      <c r="H10" s="83"/>
      <c r="I10" s="83">
        <v>311015</v>
      </c>
      <c r="J10" s="83"/>
      <c r="K10" s="83"/>
      <c r="L10" s="83"/>
      <c r="M10" s="84"/>
      <c r="N10" s="84"/>
      <c r="O10" s="84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4"/>
      <c r="AC10" s="84"/>
      <c r="AD10" s="84"/>
      <c r="AE10" s="95">
        <f t="shared" si="0"/>
        <v>2166599</v>
      </c>
      <c r="AF10" s="95">
        <f t="shared" si="1"/>
        <v>1000000</v>
      </c>
      <c r="AG10" s="95">
        <f t="shared" si="1"/>
        <v>1166599</v>
      </c>
    </row>
    <row r="11" spans="1:33" ht="15.75" x14ac:dyDescent="0.25">
      <c r="A11" s="44"/>
      <c r="B11" s="44"/>
      <c r="C11" s="61" t="s">
        <v>91</v>
      </c>
      <c r="D11" s="95">
        <f>SUM(D7:D10)</f>
        <v>103120906</v>
      </c>
      <c r="E11" s="95">
        <f t="shared" ref="E11:AE11" si="2">SUM(E7:E10)</f>
        <v>106864211</v>
      </c>
      <c r="F11" s="95">
        <f t="shared" si="2"/>
        <v>50863564</v>
      </c>
      <c r="G11" s="95">
        <f t="shared" si="2"/>
        <v>14046968</v>
      </c>
      <c r="H11" s="95">
        <f t="shared" si="2"/>
        <v>14189368</v>
      </c>
      <c r="I11" s="95">
        <f t="shared" si="2"/>
        <v>7785668</v>
      </c>
      <c r="J11" s="95">
        <f t="shared" si="2"/>
        <v>9386521</v>
      </c>
      <c r="K11" s="95">
        <f t="shared" si="2"/>
        <v>11316521</v>
      </c>
      <c r="L11" s="95">
        <f t="shared" si="2"/>
        <v>4029363</v>
      </c>
      <c r="M11" s="95">
        <f t="shared" si="2"/>
        <v>0</v>
      </c>
      <c r="N11" s="95">
        <f t="shared" si="2"/>
        <v>0</v>
      </c>
      <c r="O11" s="95">
        <f t="shared" si="2"/>
        <v>0</v>
      </c>
      <c r="P11" s="95">
        <f t="shared" si="2"/>
        <v>0</v>
      </c>
      <c r="Q11" s="95">
        <f t="shared" si="2"/>
        <v>228095</v>
      </c>
      <c r="R11" s="95">
        <f t="shared" si="2"/>
        <v>228095</v>
      </c>
      <c r="S11" s="95">
        <f t="shared" si="2"/>
        <v>0</v>
      </c>
      <c r="T11" s="95">
        <f t="shared" si="2"/>
        <v>205000</v>
      </c>
      <c r="U11" s="95">
        <f t="shared" si="2"/>
        <v>55061</v>
      </c>
      <c r="V11" s="95">
        <f t="shared" si="2"/>
        <v>0</v>
      </c>
      <c r="W11" s="95">
        <f t="shared" si="2"/>
        <v>0</v>
      </c>
      <c r="X11" s="95">
        <f t="shared" si="2"/>
        <v>0</v>
      </c>
      <c r="Y11" s="95">
        <f t="shared" si="2"/>
        <v>0</v>
      </c>
      <c r="Z11" s="95">
        <f t="shared" si="2"/>
        <v>0</v>
      </c>
      <c r="AA11" s="95">
        <f t="shared" si="2"/>
        <v>0</v>
      </c>
      <c r="AB11" s="95">
        <f t="shared" si="2"/>
        <v>0</v>
      </c>
      <c r="AC11" s="95">
        <f t="shared" si="2"/>
        <v>0</v>
      </c>
      <c r="AD11" s="95">
        <f t="shared" si="2"/>
        <v>0</v>
      </c>
      <c r="AE11" s="95">
        <f t="shared" si="2"/>
        <v>128720994</v>
      </c>
      <c r="AF11" s="95">
        <f>E11+H11+K11+N11+Q11+T11+W11+Z11</f>
        <v>132803195</v>
      </c>
      <c r="AG11" s="95">
        <f>F11+I11+L11+O11+R11+U11+X11+AA11</f>
        <v>62961751</v>
      </c>
    </row>
    <row r="12" spans="1:33" x14ac:dyDescent="0.25">
      <c r="A12" s="44" t="s">
        <v>8</v>
      </c>
      <c r="B12" s="44"/>
      <c r="C12" s="51" t="s">
        <v>112</v>
      </c>
      <c r="D12" s="81">
        <f>D8</f>
        <v>12890113</v>
      </c>
      <c r="E12" s="81">
        <f>E8+E10</f>
        <v>14358026</v>
      </c>
      <c r="F12" s="81">
        <f>F8+F10</f>
        <v>7106582</v>
      </c>
      <c r="G12" s="81">
        <f t="shared" ref="G12:AD12" si="3">G8</f>
        <v>1755871</v>
      </c>
      <c r="H12" s="81">
        <f t="shared" si="3"/>
        <v>1755871</v>
      </c>
      <c r="I12" s="81">
        <f>I8+I10</f>
        <v>1245347</v>
      </c>
      <c r="J12" s="81">
        <f t="shared" si="3"/>
        <v>1173315</v>
      </c>
      <c r="K12" s="81">
        <f t="shared" si="3"/>
        <v>1173315</v>
      </c>
      <c r="L12" s="81">
        <f t="shared" si="3"/>
        <v>503670</v>
      </c>
      <c r="M12" s="81">
        <f t="shared" si="3"/>
        <v>0</v>
      </c>
      <c r="N12" s="81">
        <f t="shared" si="3"/>
        <v>0</v>
      </c>
      <c r="O12" s="81">
        <f t="shared" si="3"/>
        <v>0</v>
      </c>
      <c r="P12" s="81">
        <f t="shared" si="3"/>
        <v>0</v>
      </c>
      <c r="Q12" s="81">
        <f t="shared" si="3"/>
        <v>228095</v>
      </c>
      <c r="R12" s="81">
        <f t="shared" si="3"/>
        <v>228095</v>
      </c>
      <c r="S12" s="81">
        <f t="shared" si="3"/>
        <v>0</v>
      </c>
      <c r="T12" s="81">
        <f t="shared" si="3"/>
        <v>0</v>
      </c>
      <c r="U12" s="81">
        <f t="shared" si="3"/>
        <v>0</v>
      </c>
      <c r="V12" s="81">
        <f t="shared" si="3"/>
        <v>0</v>
      </c>
      <c r="W12" s="81">
        <f t="shared" si="3"/>
        <v>0</v>
      </c>
      <c r="X12" s="81">
        <f t="shared" si="3"/>
        <v>0</v>
      </c>
      <c r="Y12" s="81">
        <f t="shared" si="3"/>
        <v>0</v>
      </c>
      <c r="Z12" s="81">
        <f t="shared" si="3"/>
        <v>0</v>
      </c>
      <c r="AA12" s="81">
        <f t="shared" si="3"/>
        <v>0</v>
      </c>
      <c r="AB12" s="81">
        <f t="shared" si="3"/>
        <v>0</v>
      </c>
      <c r="AC12" s="81">
        <f t="shared" si="3"/>
        <v>0</v>
      </c>
      <c r="AD12" s="81">
        <f t="shared" si="3"/>
        <v>0</v>
      </c>
      <c r="AE12" s="95">
        <f>D12+G12+J12+M12+P12+S12+V12</f>
        <v>15819299</v>
      </c>
      <c r="AF12" s="95">
        <f>E12+H12+K12+N12+Q12+T12+W12+Z12</f>
        <v>17515307</v>
      </c>
      <c r="AG12" s="95">
        <f>F12+I12+L12+O12+R12+U12+X12+AA12</f>
        <v>9083694</v>
      </c>
    </row>
    <row r="13" spans="1:33" x14ac:dyDescent="0.25">
      <c r="A13" s="44" t="s">
        <v>19</v>
      </c>
      <c r="B13" s="44"/>
      <c r="C13" s="51" t="s">
        <v>230</v>
      </c>
      <c r="D13" s="81">
        <f>D7</f>
        <v>90230793</v>
      </c>
      <c r="E13" s="81">
        <f t="shared" ref="E13:AE13" si="4">E7</f>
        <v>92506185</v>
      </c>
      <c r="F13" s="81">
        <f t="shared" si="4"/>
        <v>43756982</v>
      </c>
      <c r="G13" s="81">
        <f t="shared" si="4"/>
        <v>12291097</v>
      </c>
      <c r="H13" s="81">
        <f t="shared" si="4"/>
        <v>12433497</v>
      </c>
      <c r="I13" s="81">
        <f t="shared" si="4"/>
        <v>6540321</v>
      </c>
      <c r="J13" s="81">
        <f t="shared" si="4"/>
        <v>8213206</v>
      </c>
      <c r="K13" s="81">
        <f t="shared" si="4"/>
        <v>10143206</v>
      </c>
      <c r="L13" s="81">
        <f t="shared" si="4"/>
        <v>3525693</v>
      </c>
      <c r="M13" s="81">
        <f t="shared" si="4"/>
        <v>0</v>
      </c>
      <c r="N13" s="81">
        <f t="shared" si="4"/>
        <v>0</v>
      </c>
      <c r="O13" s="81">
        <f t="shared" si="4"/>
        <v>0</v>
      </c>
      <c r="P13" s="81">
        <f t="shared" si="4"/>
        <v>0</v>
      </c>
      <c r="Q13" s="81">
        <f t="shared" si="4"/>
        <v>0</v>
      </c>
      <c r="R13" s="81">
        <f t="shared" si="4"/>
        <v>0</v>
      </c>
      <c r="S13" s="81">
        <f t="shared" si="4"/>
        <v>0</v>
      </c>
      <c r="T13" s="81">
        <f t="shared" si="4"/>
        <v>205000</v>
      </c>
      <c r="U13" s="81">
        <f t="shared" si="4"/>
        <v>55061</v>
      </c>
      <c r="V13" s="81">
        <f t="shared" si="4"/>
        <v>0</v>
      </c>
      <c r="W13" s="81">
        <f t="shared" si="4"/>
        <v>0</v>
      </c>
      <c r="X13" s="81">
        <f t="shared" si="4"/>
        <v>0</v>
      </c>
      <c r="Y13" s="81">
        <f t="shared" si="4"/>
        <v>0</v>
      </c>
      <c r="Z13" s="81">
        <f t="shared" si="4"/>
        <v>0</v>
      </c>
      <c r="AA13" s="81">
        <f t="shared" si="4"/>
        <v>0</v>
      </c>
      <c r="AB13" s="81">
        <f t="shared" si="4"/>
        <v>0</v>
      </c>
      <c r="AC13" s="81">
        <f t="shared" si="4"/>
        <v>0</v>
      </c>
      <c r="AD13" s="81">
        <f t="shared" si="4"/>
        <v>0</v>
      </c>
      <c r="AE13" s="81">
        <f t="shared" si="4"/>
        <v>110735096</v>
      </c>
      <c r="AF13" s="95">
        <f t="shared" si="1"/>
        <v>115287888</v>
      </c>
      <c r="AG13" s="95">
        <f t="shared" si="1"/>
        <v>53878057</v>
      </c>
    </row>
    <row r="15" spans="1:33" x14ac:dyDescent="0.25">
      <c r="F15" s="43">
        <v>50007980</v>
      </c>
      <c r="I15" s="43">
        <v>7474653</v>
      </c>
      <c r="L15" s="43">
        <v>4029363</v>
      </c>
    </row>
    <row r="16" spans="1:33" x14ac:dyDescent="0.25">
      <c r="D16" s="371"/>
      <c r="G16" s="70"/>
      <c r="H16" s="70"/>
      <c r="I16" s="70"/>
      <c r="AC16" s="70"/>
      <c r="AD16" s="70"/>
      <c r="AE16" s="70"/>
    </row>
    <row r="17" spans="4:12" x14ac:dyDescent="0.25">
      <c r="D17" s="370"/>
      <c r="F17" s="43">
        <f>50007980*12.5%</f>
        <v>6250997.5</v>
      </c>
      <c r="I17" s="43">
        <f>7474653*12.5%</f>
        <v>934331.625</v>
      </c>
      <c r="J17" s="70"/>
      <c r="L17" s="43">
        <f>4029363*12.5%</f>
        <v>503670.375</v>
      </c>
    </row>
    <row r="18" spans="4:12" x14ac:dyDescent="0.25">
      <c r="D18" s="70"/>
      <c r="G18" s="70"/>
    </row>
    <row r="19" spans="4:12" x14ac:dyDescent="0.25">
      <c r="F19" s="43">
        <f>50007980-6250998</f>
        <v>43756982</v>
      </c>
      <c r="I19" s="43">
        <f>7474653-934332</f>
        <v>6540321</v>
      </c>
      <c r="L19" s="43">
        <f>4029363-503670</f>
        <v>3525693</v>
      </c>
    </row>
    <row r="23" spans="4:12" x14ac:dyDescent="0.25">
      <c r="G23" s="70"/>
    </row>
    <row r="24" spans="4:12" x14ac:dyDescent="0.25">
      <c r="G24" s="70"/>
    </row>
  </sheetData>
  <mergeCells count="22">
    <mergeCell ref="AE5:AG5"/>
    <mergeCell ref="V5:X5"/>
    <mergeCell ref="Y4:AA4"/>
    <mergeCell ref="Y5:AA5"/>
    <mergeCell ref="AB4:AD4"/>
    <mergeCell ref="AB5:AD5"/>
    <mergeCell ref="M5:O5"/>
    <mergeCell ref="P4:R4"/>
    <mergeCell ref="P5:R5"/>
    <mergeCell ref="S4:U4"/>
    <mergeCell ref="S5:U5"/>
    <mergeCell ref="D5:F5"/>
    <mergeCell ref="G4:I4"/>
    <mergeCell ref="G5:I5"/>
    <mergeCell ref="J4:L4"/>
    <mergeCell ref="J5:L5"/>
    <mergeCell ref="T1:AE1"/>
    <mergeCell ref="C3:AE3"/>
    <mergeCell ref="V4:X4"/>
    <mergeCell ref="AE4:AG4"/>
    <mergeCell ref="D4:F4"/>
    <mergeCell ref="M4:O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2:AI21"/>
  <sheetViews>
    <sheetView topLeftCell="H1" zoomScaleNormal="100" zoomScaleSheetLayoutView="100" workbookViewId="0">
      <selection activeCell="AI14" sqref="AI14"/>
    </sheetView>
  </sheetViews>
  <sheetFormatPr defaultColWidth="9.28515625" defaultRowHeight="15" x14ac:dyDescent="0.25"/>
  <cols>
    <col min="1" max="1" width="5.5703125" style="9" customWidth="1"/>
    <col min="2" max="2" width="14" style="63" customWidth="1"/>
    <col min="3" max="3" width="35" style="9" bestFit="1" customWidth="1"/>
    <col min="4" max="12" width="12.28515625" style="9" customWidth="1"/>
    <col min="13" max="13" width="9.7109375" style="9" customWidth="1"/>
    <col min="14" max="15" width="8.7109375" style="9" customWidth="1"/>
    <col min="16" max="16" width="10.140625" style="9" customWidth="1"/>
    <col min="17" max="18" width="10.28515625" style="9" customWidth="1"/>
    <col min="19" max="19" width="9.85546875" style="9" customWidth="1"/>
    <col min="20" max="20" width="10.140625" style="9" bestFit="1" customWidth="1"/>
    <col min="21" max="21" width="10.140625" style="9" customWidth="1"/>
    <col min="22" max="22" width="10" style="9" customWidth="1"/>
    <col min="23" max="24" width="10.140625" style="9" customWidth="1"/>
    <col min="25" max="25" width="9.85546875" style="9" customWidth="1"/>
    <col min="26" max="26" width="7.85546875" style="9" bestFit="1" customWidth="1"/>
    <col min="27" max="27" width="7.85546875" style="9" customWidth="1"/>
    <col min="28" max="28" width="9.42578125" style="9" customWidth="1"/>
    <col min="29" max="29" width="7.85546875" style="9" bestFit="1" customWidth="1"/>
    <col min="30" max="30" width="7.85546875" style="9" customWidth="1"/>
    <col min="31" max="31" width="12.28515625" style="9" customWidth="1"/>
    <col min="32" max="32" width="11.7109375" style="21" hidden="1" customWidth="1"/>
    <col min="33" max="33" width="12" style="9" hidden="1" customWidth="1"/>
    <col min="34" max="34" width="12.42578125" style="19" bestFit="1" customWidth="1"/>
    <col min="35" max="35" width="12.28515625" style="9" customWidth="1"/>
    <col min="36" max="16384" width="9.28515625" style="9"/>
  </cols>
  <sheetData>
    <row r="2" spans="1:35" x14ac:dyDescent="0.25">
      <c r="P2" s="482" t="s">
        <v>395</v>
      </c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375"/>
    </row>
    <row r="3" spans="1:35" ht="54" customHeight="1" x14ac:dyDescent="0.25">
      <c r="A3" s="110"/>
      <c r="C3" s="501" t="s">
        <v>396</v>
      </c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2"/>
    </row>
    <row r="4" spans="1:35" ht="54" customHeight="1" x14ac:dyDescent="0.25">
      <c r="A4" s="318" t="s">
        <v>52</v>
      </c>
      <c r="B4" s="318" t="s">
        <v>60</v>
      </c>
      <c r="C4" s="318" t="s">
        <v>53</v>
      </c>
      <c r="D4" s="487" t="s">
        <v>54</v>
      </c>
      <c r="E4" s="488"/>
      <c r="F4" s="489"/>
      <c r="G4" s="487" t="s">
        <v>55</v>
      </c>
      <c r="H4" s="488"/>
      <c r="I4" s="489"/>
      <c r="J4" s="487" t="s">
        <v>62</v>
      </c>
      <c r="K4" s="488"/>
      <c r="L4" s="489"/>
      <c r="M4" s="487" t="s">
        <v>64</v>
      </c>
      <c r="N4" s="488"/>
      <c r="O4" s="489"/>
      <c r="P4" s="487" t="s">
        <v>65</v>
      </c>
      <c r="Q4" s="488"/>
      <c r="R4" s="489"/>
      <c r="S4" s="487" t="s">
        <v>66</v>
      </c>
      <c r="T4" s="488"/>
      <c r="U4" s="489"/>
      <c r="V4" s="487" t="s">
        <v>67</v>
      </c>
      <c r="W4" s="488"/>
      <c r="X4" s="489"/>
      <c r="Y4" s="487" t="s">
        <v>99</v>
      </c>
      <c r="Z4" s="488"/>
      <c r="AA4" s="489"/>
      <c r="AB4" s="487" t="s">
        <v>93</v>
      </c>
      <c r="AC4" s="488"/>
      <c r="AD4" s="489"/>
      <c r="AE4" s="487" t="s">
        <v>180</v>
      </c>
      <c r="AF4" s="488"/>
      <c r="AG4" s="488"/>
      <c r="AH4" s="488"/>
      <c r="AI4" s="489"/>
    </row>
    <row r="5" spans="1:35" ht="45" customHeight="1" x14ac:dyDescent="0.25">
      <c r="A5" s="109" t="s">
        <v>185</v>
      </c>
      <c r="B5" s="108" t="s">
        <v>96</v>
      </c>
      <c r="C5" s="13" t="s">
        <v>69</v>
      </c>
      <c r="D5" s="498" t="s">
        <v>41</v>
      </c>
      <c r="E5" s="499"/>
      <c r="F5" s="500"/>
      <c r="G5" s="498" t="s">
        <v>100</v>
      </c>
      <c r="H5" s="499"/>
      <c r="I5" s="500"/>
      <c r="J5" s="498" t="s">
        <v>42</v>
      </c>
      <c r="K5" s="499"/>
      <c r="L5" s="500"/>
      <c r="M5" s="498" t="s">
        <v>101</v>
      </c>
      <c r="N5" s="499"/>
      <c r="O5" s="500"/>
      <c r="P5" s="498" t="s">
        <v>114</v>
      </c>
      <c r="Q5" s="499"/>
      <c r="R5" s="500"/>
      <c r="S5" s="498" t="s">
        <v>45</v>
      </c>
      <c r="T5" s="499"/>
      <c r="U5" s="500"/>
      <c r="V5" s="498" t="s">
        <v>46</v>
      </c>
      <c r="W5" s="499"/>
      <c r="X5" s="500"/>
      <c r="Y5" s="498" t="s">
        <v>104</v>
      </c>
      <c r="Z5" s="499"/>
      <c r="AA5" s="500"/>
      <c r="AB5" s="498" t="s">
        <v>109</v>
      </c>
      <c r="AC5" s="499"/>
      <c r="AD5" s="500"/>
      <c r="AE5" s="503" t="s">
        <v>83</v>
      </c>
      <c r="AF5" s="504"/>
      <c r="AG5" s="504"/>
      <c r="AH5" s="504"/>
      <c r="AI5" s="505"/>
    </row>
    <row r="6" spans="1:35" ht="46.5" customHeight="1" x14ac:dyDescent="0.25">
      <c r="A6" s="11" t="s">
        <v>1</v>
      </c>
      <c r="B6" s="16"/>
      <c r="C6" s="13" t="s">
        <v>89</v>
      </c>
      <c r="D6" s="48" t="s">
        <v>397</v>
      </c>
      <c r="E6" s="14" t="s">
        <v>382</v>
      </c>
      <c r="F6" s="14" t="s">
        <v>416</v>
      </c>
      <c r="G6" s="48" t="s">
        <v>397</v>
      </c>
      <c r="H6" s="14" t="s">
        <v>382</v>
      </c>
      <c r="I6" s="14" t="s">
        <v>416</v>
      </c>
      <c r="J6" s="48" t="s">
        <v>397</v>
      </c>
      <c r="K6" s="14" t="s">
        <v>382</v>
      </c>
      <c r="L6" s="14" t="s">
        <v>416</v>
      </c>
      <c r="M6" s="48" t="s">
        <v>397</v>
      </c>
      <c r="N6" s="14" t="s">
        <v>382</v>
      </c>
      <c r="O6" s="14" t="s">
        <v>416</v>
      </c>
      <c r="P6" s="48" t="s">
        <v>397</v>
      </c>
      <c r="Q6" s="14" t="s">
        <v>382</v>
      </c>
      <c r="R6" s="14" t="s">
        <v>416</v>
      </c>
      <c r="S6" s="48" t="s">
        <v>397</v>
      </c>
      <c r="T6" s="14" t="s">
        <v>382</v>
      </c>
      <c r="U6" s="14" t="s">
        <v>416</v>
      </c>
      <c r="V6" s="48" t="s">
        <v>397</v>
      </c>
      <c r="W6" s="14" t="s">
        <v>382</v>
      </c>
      <c r="X6" s="14" t="s">
        <v>416</v>
      </c>
      <c r="Y6" s="48" t="s">
        <v>397</v>
      </c>
      <c r="Z6" s="14" t="s">
        <v>382</v>
      </c>
      <c r="AA6" s="14" t="s">
        <v>416</v>
      </c>
      <c r="AB6" s="48" t="s">
        <v>397</v>
      </c>
      <c r="AC6" s="14" t="s">
        <v>382</v>
      </c>
      <c r="AD6" s="14" t="s">
        <v>416</v>
      </c>
      <c r="AE6" s="48" t="s">
        <v>397</v>
      </c>
      <c r="AF6" s="14" t="s">
        <v>342</v>
      </c>
      <c r="AG6" s="48" t="s">
        <v>348</v>
      </c>
      <c r="AH6" s="14" t="s">
        <v>382</v>
      </c>
      <c r="AI6" s="14" t="s">
        <v>416</v>
      </c>
    </row>
    <row r="7" spans="1:35" x14ac:dyDescent="0.25">
      <c r="A7" s="11" t="s">
        <v>3</v>
      </c>
      <c r="B7" s="16" t="s">
        <v>77</v>
      </c>
      <c r="C7" s="10" t="s">
        <v>231</v>
      </c>
      <c r="D7" s="112">
        <v>52827103</v>
      </c>
      <c r="E7" s="337">
        <v>54961826</v>
      </c>
      <c r="F7" s="337">
        <v>29696381</v>
      </c>
      <c r="G7" s="112">
        <v>6763638</v>
      </c>
      <c r="H7" s="83">
        <v>7125318</v>
      </c>
      <c r="I7" s="83">
        <v>3853148</v>
      </c>
      <c r="J7" s="92">
        <v>81495766</v>
      </c>
      <c r="K7" s="83">
        <f t="shared" ref="K7:K13" si="0">J7</f>
        <v>81495766</v>
      </c>
      <c r="L7" s="83">
        <v>42459045</v>
      </c>
      <c r="M7" s="92"/>
      <c r="N7" s="92"/>
      <c r="O7" s="92"/>
      <c r="P7" s="92"/>
      <c r="Q7" s="92"/>
      <c r="R7" s="92"/>
      <c r="S7" s="92">
        <v>4052227</v>
      </c>
      <c r="T7" s="83">
        <f>S7</f>
        <v>4052227</v>
      </c>
      <c r="U7" s="83">
        <v>2659865</v>
      </c>
      <c r="V7" s="92"/>
      <c r="W7" s="92"/>
      <c r="X7" s="92"/>
      <c r="Y7" s="92"/>
      <c r="Z7" s="92"/>
      <c r="AA7" s="92"/>
      <c r="AB7" s="92"/>
      <c r="AC7" s="92"/>
      <c r="AD7" s="92"/>
      <c r="AE7" s="7">
        <f t="shared" ref="AE7:AE16" si="1">AB7+Y7+V7+S7+P7+M7+J7+G7+D7</f>
        <v>145138734</v>
      </c>
      <c r="AF7" s="64">
        <v>63126</v>
      </c>
      <c r="AG7" s="96">
        <f>58896+3200</f>
        <v>62096</v>
      </c>
      <c r="AH7" s="38">
        <f>E7+H7+K7+N7+Q7+T7+W7+Z7+AC7</f>
        <v>147635137</v>
      </c>
      <c r="AI7" s="38">
        <f>F7+I7+L7+O7+R7+U7+X7+AA7+AD7</f>
        <v>78668439</v>
      </c>
    </row>
    <row r="8" spans="1:35" x14ac:dyDescent="0.25">
      <c r="A8" s="11" t="s">
        <v>4</v>
      </c>
      <c r="B8" s="16" t="s">
        <v>77</v>
      </c>
      <c r="C8" s="10" t="s">
        <v>234</v>
      </c>
      <c r="D8" s="112">
        <v>63052713</v>
      </c>
      <c r="E8" s="337">
        <v>68609623</v>
      </c>
      <c r="F8" s="337">
        <v>39671230</v>
      </c>
      <c r="G8" s="112">
        <v>8196852</v>
      </c>
      <c r="H8" s="83">
        <v>8558532</v>
      </c>
      <c r="I8" s="83">
        <v>5560867</v>
      </c>
      <c r="J8" s="92">
        <v>76591546</v>
      </c>
      <c r="K8" s="83">
        <f t="shared" si="0"/>
        <v>76591546</v>
      </c>
      <c r="L8" s="83">
        <v>33729153</v>
      </c>
      <c r="M8" s="92"/>
      <c r="N8" s="92"/>
      <c r="O8" s="92"/>
      <c r="P8" s="92"/>
      <c r="Q8" s="92"/>
      <c r="R8" s="92"/>
      <c r="S8" s="92">
        <v>303712</v>
      </c>
      <c r="T8" s="83">
        <f>S8</f>
        <v>303712</v>
      </c>
      <c r="U8" s="83">
        <v>236028</v>
      </c>
      <c r="V8" s="92"/>
      <c r="W8" s="92"/>
      <c r="X8" s="92"/>
      <c r="Y8" s="92"/>
      <c r="Z8" s="92"/>
      <c r="AA8" s="92"/>
      <c r="AB8" s="92"/>
      <c r="AC8" s="92"/>
      <c r="AD8" s="92"/>
      <c r="AE8" s="7">
        <f t="shared" si="1"/>
        <v>148144823</v>
      </c>
      <c r="AF8" s="64"/>
      <c r="AG8" s="96"/>
      <c r="AH8" s="38">
        <f t="shared" ref="AH8:AI12" si="2">E8+H8+K8+N8+Q8+T8+W8+Z8+AC8</f>
        <v>154063413</v>
      </c>
      <c r="AI8" s="38">
        <f t="shared" si="2"/>
        <v>79197278</v>
      </c>
    </row>
    <row r="9" spans="1:35" x14ac:dyDescent="0.25">
      <c r="A9" s="11" t="s">
        <v>6</v>
      </c>
      <c r="B9" s="16" t="s">
        <v>76</v>
      </c>
      <c r="C9" s="10" t="s">
        <v>232</v>
      </c>
      <c r="D9" s="112">
        <v>4088020</v>
      </c>
      <c r="E9" s="337">
        <v>4479797</v>
      </c>
      <c r="F9" s="337">
        <v>2158494</v>
      </c>
      <c r="G9" s="112">
        <v>531443</v>
      </c>
      <c r="H9" s="83">
        <v>566203</v>
      </c>
      <c r="I9" s="83">
        <v>284293</v>
      </c>
      <c r="J9" s="92">
        <v>978479</v>
      </c>
      <c r="K9" s="92">
        <f t="shared" si="0"/>
        <v>978479</v>
      </c>
      <c r="L9" s="92">
        <v>656674</v>
      </c>
      <c r="M9" s="92"/>
      <c r="N9" s="92"/>
      <c r="O9" s="92"/>
      <c r="P9" s="92"/>
      <c r="Q9" s="92"/>
      <c r="R9" s="92"/>
      <c r="S9" s="92"/>
      <c r="T9" s="92"/>
      <c r="U9" s="92">
        <v>19832</v>
      </c>
      <c r="V9" s="92"/>
      <c r="W9" s="92"/>
      <c r="X9" s="92"/>
      <c r="Y9" s="92"/>
      <c r="Z9" s="92"/>
      <c r="AA9" s="92"/>
      <c r="AB9" s="92"/>
      <c r="AC9" s="92"/>
      <c r="AD9" s="92"/>
      <c r="AE9" s="7">
        <f t="shared" si="1"/>
        <v>5597942</v>
      </c>
      <c r="AF9" s="64">
        <v>9158</v>
      </c>
      <c r="AG9" s="96">
        <v>8953</v>
      </c>
      <c r="AH9" s="38">
        <f t="shared" si="2"/>
        <v>6024479</v>
      </c>
      <c r="AI9" s="38">
        <f t="shared" si="2"/>
        <v>3119293</v>
      </c>
    </row>
    <row r="10" spans="1:35" x14ac:dyDescent="0.25">
      <c r="A10" s="11" t="s">
        <v>8</v>
      </c>
      <c r="B10" s="16" t="s">
        <v>76</v>
      </c>
      <c r="C10" s="10" t="s">
        <v>233</v>
      </c>
      <c r="D10" s="112">
        <v>3968176</v>
      </c>
      <c r="E10" s="337">
        <f>D10</f>
        <v>3968176</v>
      </c>
      <c r="F10" s="337">
        <v>2244392</v>
      </c>
      <c r="G10" s="112">
        <v>515863</v>
      </c>
      <c r="H10" s="83">
        <f>G10</f>
        <v>515863</v>
      </c>
      <c r="I10" s="83">
        <v>298014</v>
      </c>
      <c r="J10" s="92">
        <v>767279</v>
      </c>
      <c r="K10" s="83">
        <f t="shared" si="0"/>
        <v>767279</v>
      </c>
      <c r="L10" s="83">
        <v>415177</v>
      </c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7">
        <f t="shared" si="1"/>
        <v>5251318</v>
      </c>
      <c r="AF10" s="64"/>
      <c r="AG10" s="96"/>
      <c r="AH10" s="38">
        <f t="shared" si="2"/>
        <v>5251318</v>
      </c>
      <c r="AI10" s="38">
        <f t="shared" si="2"/>
        <v>2957583</v>
      </c>
    </row>
    <row r="11" spans="1:35" x14ac:dyDescent="0.25">
      <c r="A11" s="11" t="s">
        <v>19</v>
      </c>
      <c r="B11" s="16" t="s">
        <v>76</v>
      </c>
      <c r="C11" s="10" t="s">
        <v>340</v>
      </c>
      <c r="D11" s="112">
        <v>2592292</v>
      </c>
      <c r="E11" s="337">
        <v>2625292</v>
      </c>
      <c r="F11" s="337">
        <v>424490</v>
      </c>
      <c r="G11" s="112">
        <v>336998</v>
      </c>
      <c r="H11" s="92">
        <v>341288</v>
      </c>
      <c r="I11" s="92">
        <v>55185</v>
      </c>
      <c r="J11" s="92">
        <v>15012795</v>
      </c>
      <c r="K11" s="83">
        <f t="shared" si="0"/>
        <v>15012795</v>
      </c>
      <c r="L11" s="83">
        <v>9835048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7">
        <f t="shared" si="1"/>
        <v>17942085</v>
      </c>
      <c r="AF11" s="64">
        <v>15074</v>
      </c>
      <c r="AG11" s="96">
        <v>15183</v>
      </c>
      <c r="AH11" s="38">
        <f t="shared" si="2"/>
        <v>17979375</v>
      </c>
      <c r="AI11" s="64">
        <f>F11+I11+L11+O11+R11+U11+X11+AA11+AD11</f>
        <v>10314723</v>
      </c>
    </row>
    <row r="12" spans="1:35" x14ac:dyDescent="0.25">
      <c r="A12" s="11" t="s">
        <v>21</v>
      </c>
      <c r="B12" s="16" t="s">
        <v>76</v>
      </c>
      <c r="C12" s="10" t="s">
        <v>235</v>
      </c>
      <c r="D12" s="117">
        <v>11110762</v>
      </c>
      <c r="E12" s="337">
        <v>11390674</v>
      </c>
      <c r="F12" s="337">
        <v>6065134</v>
      </c>
      <c r="G12" s="112">
        <v>1444399</v>
      </c>
      <c r="H12" s="83">
        <v>1480787</v>
      </c>
      <c r="I12" s="83">
        <v>803758</v>
      </c>
      <c r="J12" s="92">
        <v>430034</v>
      </c>
      <c r="K12" s="92">
        <f t="shared" si="0"/>
        <v>430034</v>
      </c>
      <c r="L12" s="92">
        <v>96589</v>
      </c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7">
        <f t="shared" si="1"/>
        <v>12985195</v>
      </c>
      <c r="AF12" s="64">
        <v>6981</v>
      </c>
      <c r="AG12" s="96">
        <v>7395</v>
      </c>
      <c r="AH12" s="38">
        <f t="shared" si="2"/>
        <v>13301495</v>
      </c>
      <c r="AI12" s="16">
        <f t="shared" si="2"/>
        <v>6965481</v>
      </c>
    </row>
    <row r="13" spans="1:35" x14ac:dyDescent="0.25">
      <c r="A13" s="11" t="s">
        <v>22</v>
      </c>
      <c r="B13" s="16" t="s">
        <v>77</v>
      </c>
      <c r="C13" s="10" t="s">
        <v>349</v>
      </c>
      <c r="D13" s="117">
        <v>1376000</v>
      </c>
      <c r="E13" s="112">
        <f>D13</f>
        <v>1376000</v>
      </c>
      <c r="F13" s="112">
        <v>680000</v>
      </c>
      <c r="G13" s="112">
        <v>89440</v>
      </c>
      <c r="H13" s="92">
        <f>G13</f>
        <v>89440</v>
      </c>
      <c r="I13" s="92">
        <v>44200</v>
      </c>
      <c r="J13" s="92">
        <v>62897</v>
      </c>
      <c r="K13" s="92">
        <f t="shared" si="0"/>
        <v>62897</v>
      </c>
      <c r="L13" s="92">
        <v>110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7">
        <f t="shared" si="1"/>
        <v>1528337</v>
      </c>
      <c r="AF13" s="64"/>
      <c r="AG13" s="96"/>
      <c r="AH13" s="38">
        <f t="shared" ref="AH13:AI15" si="3">E13+H13+K13+N13+Q13+T13+W13+Z13+AC13</f>
        <v>1528337</v>
      </c>
      <c r="AI13" s="38">
        <f t="shared" si="3"/>
        <v>724310</v>
      </c>
    </row>
    <row r="14" spans="1:35" x14ac:dyDescent="0.25">
      <c r="A14" s="11" t="s">
        <v>24</v>
      </c>
      <c r="B14" s="16"/>
      <c r="C14" s="65" t="s">
        <v>91</v>
      </c>
      <c r="D14" s="7">
        <f t="shared" ref="D14:AD14" si="4">SUM(D7:D13)</f>
        <v>139015066</v>
      </c>
      <c r="E14" s="7">
        <f t="shared" si="4"/>
        <v>147411388</v>
      </c>
      <c r="F14" s="7">
        <f t="shared" si="4"/>
        <v>80940121</v>
      </c>
      <c r="G14" s="7">
        <f t="shared" si="4"/>
        <v>17878633</v>
      </c>
      <c r="H14" s="7">
        <f t="shared" si="4"/>
        <v>18677431</v>
      </c>
      <c r="I14" s="7">
        <f t="shared" si="4"/>
        <v>10899465</v>
      </c>
      <c r="J14" s="7">
        <f t="shared" si="4"/>
        <v>175338796</v>
      </c>
      <c r="K14" s="7">
        <f t="shared" si="4"/>
        <v>175338796</v>
      </c>
      <c r="L14" s="7">
        <f t="shared" si="4"/>
        <v>87191796</v>
      </c>
      <c r="M14" s="7">
        <f t="shared" si="4"/>
        <v>0</v>
      </c>
      <c r="N14" s="7">
        <f t="shared" si="4"/>
        <v>0</v>
      </c>
      <c r="O14" s="7">
        <f t="shared" si="4"/>
        <v>0</v>
      </c>
      <c r="P14" s="7">
        <f t="shared" si="4"/>
        <v>0</v>
      </c>
      <c r="Q14" s="7">
        <f t="shared" si="4"/>
        <v>0</v>
      </c>
      <c r="R14" s="7">
        <f t="shared" si="4"/>
        <v>0</v>
      </c>
      <c r="S14" s="7">
        <f t="shared" si="4"/>
        <v>4355939</v>
      </c>
      <c r="T14" s="7">
        <f t="shared" si="4"/>
        <v>4355939</v>
      </c>
      <c r="U14" s="7">
        <f t="shared" si="4"/>
        <v>2915725</v>
      </c>
      <c r="V14" s="7">
        <f t="shared" si="4"/>
        <v>0</v>
      </c>
      <c r="W14" s="7">
        <f t="shared" si="4"/>
        <v>0</v>
      </c>
      <c r="X14" s="7">
        <f t="shared" si="4"/>
        <v>0</v>
      </c>
      <c r="Y14" s="7">
        <f t="shared" si="4"/>
        <v>0</v>
      </c>
      <c r="Z14" s="7">
        <f t="shared" si="4"/>
        <v>0</v>
      </c>
      <c r="AA14" s="7">
        <f t="shared" si="4"/>
        <v>0</v>
      </c>
      <c r="AB14" s="7">
        <f t="shared" si="4"/>
        <v>0</v>
      </c>
      <c r="AC14" s="7">
        <f t="shared" si="4"/>
        <v>0</v>
      </c>
      <c r="AD14" s="7">
        <f t="shared" si="4"/>
        <v>0</v>
      </c>
      <c r="AE14" s="7">
        <f t="shared" si="1"/>
        <v>336588434</v>
      </c>
      <c r="AF14" s="7">
        <f>SUM(AF7:AF13)</f>
        <v>94339</v>
      </c>
      <c r="AG14" s="7">
        <f>SUM(AG7:AG13)</f>
        <v>93627</v>
      </c>
      <c r="AH14" s="38">
        <f>E14+H14+K14+N14+Q14+T14+W14+Z14+AC14</f>
        <v>345783554</v>
      </c>
      <c r="AI14" s="38">
        <f>F14+I14+L14+O14+R14+U14+X14+AA14+AD14</f>
        <v>181947107</v>
      </c>
    </row>
    <row r="15" spans="1:35" x14ac:dyDescent="0.25">
      <c r="A15" s="11" t="s">
        <v>25</v>
      </c>
      <c r="B15" s="16"/>
      <c r="C15" s="16" t="s">
        <v>81</v>
      </c>
      <c r="D15" s="64">
        <f t="shared" ref="D15:AD15" si="5">SUMIF($B7:$B13,"kötelező",D7:D13)</f>
        <v>21759250</v>
      </c>
      <c r="E15" s="64">
        <f t="shared" si="5"/>
        <v>22463939</v>
      </c>
      <c r="F15" s="64">
        <f t="shared" si="5"/>
        <v>10892510</v>
      </c>
      <c r="G15" s="64">
        <f t="shared" si="5"/>
        <v>2828703</v>
      </c>
      <c r="H15" s="64">
        <f t="shared" si="5"/>
        <v>2904141</v>
      </c>
      <c r="I15" s="64">
        <f t="shared" si="5"/>
        <v>1441250</v>
      </c>
      <c r="J15" s="64">
        <f t="shared" si="5"/>
        <v>17188587</v>
      </c>
      <c r="K15" s="64">
        <f t="shared" si="5"/>
        <v>17188587</v>
      </c>
      <c r="L15" s="64">
        <f t="shared" si="5"/>
        <v>11003488</v>
      </c>
      <c r="M15" s="64">
        <f t="shared" si="5"/>
        <v>0</v>
      </c>
      <c r="N15" s="64">
        <f t="shared" si="5"/>
        <v>0</v>
      </c>
      <c r="O15" s="64">
        <f t="shared" si="5"/>
        <v>0</v>
      </c>
      <c r="P15" s="64">
        <f t="shared" si="5"/>
        <v>0</v>
      </c>
      <c r="Q15" s="64">
        <f t="shared" si="5"/>
        <v>0</v>
      </c>
      <c r="R15" s="64">
        <f t="shared" si="5"/>
        <v>0</v>
      </c>
      <c r="S15" s="64">
        <f t="shared" si="5"/>
        <v>0</v>
      </c>
      <c r="T15" s="64">
        <f t="shared" si="5"/>
        <v>0</v>
      </c>
      <c r="U15" s="64">
        <f t="shared" si="5"/>
        <v>19832</v>
      </c>
      <c r="V15" s="64">
        <f t="shared" si="5"/>
        <v>0</v>
      </c>
      <c r="W15" s="64">
        <f t="shared" si="5"/>
        <v>0</v>
      </c>
      <c r="X15" s="64">
        <f t="shared" si="5"/>
        <v>0</v>
      </c>
      <c r="Y15" s="64">
        <f t="shared" si="5"/>
        <v>0</v>
      </c>
      <c r="Z15" s="64">
        <f t="shared" si="5"/>
        <v>0</v>
      </c>
      <c r="AA15" s="64">
        <f t="shared" si="5"/>
        <v>0</v>
      </c>
      <c r="AB15" s="64">
        <f t="shared" si="5"/>
        <v>0</v>
      </c>
      <c r="AC15" s="64">
        <f t="shared" si="5"/>
        <v>0</v>
      </c>
      <c r="AD15" s="64">
        <f t="shared" si="5"/>
        <v>0</v>
      </c>
      <c r="AE15" s="7">
        <f t="shared" si="1"/>
        <v>41776540</v>
      </c>
      <c r="AF15" s="64">
        <f>SUMIF($B7:$B13,"kötelező",AF7:AF13)</f>
        <v>31213</v>
      </c>
      <c r="AG15" s="64">
        <f>SUMIF($B7:$B13,"kötelező",AG7:AG13)</f>
        <v>31531</v>
      </c>
      <c r="AH15" s="38">
        <f t="shared" si="3"/>
        <v>42556667</v>
      </c>
      <c r="AI15" s="38">
        <f t="shared" si="3"/>
        <v>23357080</v>
      </c>
    </row>
    <row r="16" spans="1:35" x14ac:dyDescent="0.25">
      <c r="A16" s="11" t="s">
        <v>26</v>
      </c>
      <c r="B16" s="16"/>
      <c r="C16" s="16" t="s">
        <v>82</v>
      </c>
      <c r="D16" s="64">
        <f t="shared" ref="D16:AD16" si="6">SUMIF($B7:$B13,"nem kötelező",D7:D13)</f>
        <v>117255816</v>
      </c>
      <c r="E16" s="64">
        <f t="shared" si="6"/>
        <v>124947449</v>
      </c>
      <c r="F16" s="64">
        <f t="shared" si="6"/>
        <v>70047611</v>
      </c>
      <c r="G16" s="64">
        <f t="shared" si="6"/>
        <v>15049930</v>
      </c>
      <c r="H16" s="64">
        <f t="shared" si="6"/>
        <v>15773290</v>
      </c>
      <c r="I16" s="64">
        <f t="shared" si="6"/>
        <v>9458215</v>
      </c>
      <c r="J16" s="64">
        <f t="shared" si="6"/>
        <v>158150209</v>
      </c>
      <c r="K16" s="64">
        <f t="shared" si="6"/>
        <v>158150209</v>
      </c>
      <c r="L16" s="64">
        <f t="shared" si="6"/>
        <v>76188308</v>
      </c>
      <c r="M16" s="64">
        <f t="shared" si="6"/>
        <v>0</v>
      </c>
      <c r="N16" s="64">
        <f t="shared" si="6"/>
        <v>0</v>
      </c>
      <c r="O16" s="64">
        <f t="shared" si="6"/>
        <v>0</v>
      </c>
      <c r="P16" s="64">
        <f t="shared" si="6"/>
        <v>0</v>
      </c>
      <c r="Q16" s="64">
        <f t="shared" si="6"/>
        <v>0</v>
      </c>
      <c r="R16" s="64">
        <f t="shared" si="6"/>
        <v>0</v>
      </c>
      <c r="S16" s="64">
        <f t="shared" si="6"/>
        <v>4355939</v>
      </c>
      <c r="T16" s="64">
        <f t="shared" si="6"/>
        <v>4355939</v>
      </c>
      <c r="U16" s="64">
        <f t="shared" si="6"/>
        <v>2895893</v>
      </c>
      <c r="V16" s="64">
        <f t="shared" si="6"/>
        <v>0</v>
      </c>
      <c r="W16" s="64">
        <f t="shared" si="6"/>
        <v>0</v>
      </c>
      <c r="X16" s="64">
        <f t="shared" si="6"/>
        <v>0</v>
      </c>
      <c r="Y16" s="64">
        <f t="shared" si="6"/>
        <v>0</v>
      </c>
      <c r="Z16" s="64">
        <f t="shared" si="6"/>
        <v>0</v>
      </c>
      <c r="AA16" s="64">
        <f t="shared" si="6"/>
        <v>0</v>
      </c>
      <c r="AB16" s="64">
        <f t="shared" si="6"/>
        <v>0</v>
      </c>
      <c r="AC16" s="64">
        <f t="shared" si="6"/>
        <v>0</v>
      </c>
      <c r="AD16" s="64">
        <f t="shared" si="6"/>
        <v>0</v>
      </c>
      <c r="AE16" s="7">
        <f t="shared" si="1"/>
        <v>294811894</v>
      </c>
      <c r="AF16" s="64">
        <f>SUMIF($B7:$B13,"nem kötelező",AF7:AF13)</f>
        <v>63126</v>
      </c>
      <c r="AG16" s="64">
        <f>SUMIF($B7:$B13,"nem kötelező",AG7:AG13)</f>
        <v>62096</v>
      </c>
      <c r="AH16" s="64">
        <f>SUMIF($B7:$B13,"nem kötelező",AH7:AH13)</f>
        <v>303226887</v>
      </c>
      <c r="AI16" s="64">
        <f>SUMIF($B7:$B13,"nem kötelező",AI7:AI13)</f>
        <v>158590027</v>
      </c>
    </row>
    <row r="17" spans="1:35" x14ac:dyDescent="0.25">
      <c r="A17" s="11" t="s">
        <v>28</v>
      </c>
      <c r="B17" s="16"/>
      <c r="C17" s="16" t="s">
        <v>111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38">
        <v>31</v>
      </c>
      <c r="AF17" s="38">
        <v>30</v>
      </c>
      <c r="AG17" s="38">
        <v>30</v>
      </c>
      <c r="AH17" s="38">
        <v>31</v>
      </c>
      <c r="AI17" s="64"/>
    </row>
    <row r="18" spans="1:35" x14ac:dyDescent="0.25">
      <c r="A18" s="11" t="s">
        <v>29</v>
      </c>
      <c r="B18" s="16"/>
      <c r="C18" s="16" t="s">
        <v>110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>
        <v>0</v>
      </c>
      <c r="AF18" s="64">
        <v>0</v>
      </c>
      <c r="AG18" s="64">
        <v>0</v>
      </c>
      <c r="AH18" s="64">
        <v>0</v>
      </c>
      <c r="AI18" s="16"/>
    </row>
    <row r="19" spans="1:35" x14ac:dyDescent="0.25">
      <c r="AH19" s="32"/>
    </row>
    <row r="20" spans="1:35" x14ac:dyDescent="0.25">
      <c r="K20" s="21"/>
      <c r="L20" s="21"/>
      <c r="AH20" s="32"/>
    </row>
    <row r="21" spans="1:35" x14ac:dyDescent="0.25">
      <c r="J21" s="21"/>
      <c r="AE21" s="21"/>
    </row>
  </sheetData>
  <mergeCells count="22">
    <mergeCell ref="AE5:AI5"/>
    <mergeCell ref="V5:X5"/>
    <mergeCell ref="Y4:AA4"/>
    <mergeCell ref="Y5:AA5"/>
    <mergeCell ref="AB4:AD4"/>
    <mergeCell ref="AB5:AD5"/>
    <mergeCell ref="M5:O5"/>
    <mergeCell ref="P4:R4"/>
    <mergeCell ref="P5:R5"/>
    <mergeCell ref="S4:U4"/>
    <mergeCell ref="S5:U5"/>
    <mergeCell ref="D5:F5"/>
    <mergeCell ref="G4:I4"/>
    <mergeCell ref="G5:I5"/>
    <mergeCell ref="J4:L4"/>
    <mergeCell ref="J5:L5"/>
    <mergeCell ref="P2:Z2"/>
    <mergeCell ref="C3:AH3"/>
    <mergeCell ref="V4:X4"/>
    <mergeCell ref="AE4:AI4"/>
    <mergeCell ref="D4:F4"/>
    <mergeCell ref="M4:O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I16"/>
  <sheetViews>
    <sheetView topLeftCell="H1" zoomScaleNormal="100" zoomScaleSheetLayoutView="100" workbookViewId="0">
      <selection activeCell="AH14" sqref="AH14:AI14"/>
    </sheetView>
  </sheetViews>
  <sheetFormatPr defaultColWidth="9.28515625" defaultRowHeight="15" x14ac:dyDescent="0.25"/>
  <cols>
    <col min="1" max="1" width="5.140625" style="9" customWidth="1"/>
    <col min="2" max="2" width="10" style="63" bestFit="1" customWidth="1"/>
    <col min="3" max="3" width="36" style="9" customWidth="1"/>
    <col min="4" max="12" width="12.7109375" style="9" customWidth="1"/>
    <col min="13" max="13" width="9.7109375" style="9" customWidth="1"/>
    <col min="14" max="14" width="7.85546875" style="9" bestFit="1" customWidth="1"/>
    <col min="15" max="15" width="7.85546875" style="9" customWidth="1"/>
    <col min="16" max="16" width="9.85546875" style="9" customWidth="1"/>
    <col min="17" max="17" width="7.85546875" style="9" bestFit="1" customWidth="1"/>
    <col min="18" max="18" width="7.85546875" style="9" customWidth="1"/>
    <col min="19" max="19" width="9.85546875" style="9" customWidth="1"/>
    <col min="20" max="20" width="10.140625" style="9" bestFit="1" customWidth="1"/>
    <col min="21" max="21" width="10.140625" style="9" customWidth="1"/>
    <col min="22" max="22" width="9.5703125" style="9" customWidth="1"/>
    <col min="23" max="23" width="7.85546875" style="9" bestFit="1" customWidth="1"/>
    <col min="24" max="24" width="7.85546875" style="9" customWidth="1"/>
    <col min="25" max="25" width="10" style="9" customWidth="1"/>
    <col min="26" max="26" width="7.85546875" style="9" bestFit="1" customWidth="1"/>
    <col min="27" max="27" width="7.85546875" style="9" customWidth="1"/>
    <col min="28" max="28" width="9.42578125" style="9" customWidth="1"/>
    <col min="29" max="29" width="7.85546875" style="9" bestFit="1" customWidth="1"/>
    <col min="30" max="30" width="7.85546875" style="9" customWidth="1"/>
    <col min="31" max="31" width="12.7109375" style="9" customWidth="1"/>
    <col min="32" max="32" width="0" style="9" hidden="1" customWidth="1"/>
    <col min="33" max="33" width="11.28515625" style="9" hidden="1" customWidth="1"/>
    <col min="34" max="34" width="12.42578125" style="9" bestFit="1" customWidth="1"/>
    <col min="35" max="35" width="12" style="9" customWidth="1"/>
    <col min="36" max="16384" width="9.28515625" style="9"/>
  </cols>
  <sheetData>
    <row r="1" spans="1:35" x14ac:dyDescent="0.25">
      <c r="S1" s="9" t="s">
        <v>398</v>
      </c>
    </row>
    <row r="2" spans="1:35" ht="42" customHeight="1" x14ac:dyDescent="0.25">
      <c r="A2" s="110"/>
      <c r="C2" s="501" t="s">
        <v>399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</row>
    <row r="3" spans="1:35" ht="42" customHeight="1" x14ac:dyDescent="0.25">
      <c r="A3" s="39" t="s">
        <v>52</v>
      </c>
      <c r="B3" s="39" t="s">
        <v>60</v>
      </c>
      <c r="C3" s="108" t="s">
        <v>53</v>
      </c>
      <c r="D3" s="506" t="s">
        <v>54</v>
      </c>
      <c r="E3" s="507"/>
      <c r="F3" s="508"/>
      <c r="G3" s="506" t="s">
        <v>55</v>
      </c>
      <c r="H3" s="507"/>
      <c r="I3" s="508"/>
      <c r="J3" s="506" t="s">
        <v>62</v>
      </c>
      <c r="K3" s="507"/>
      <c r="L3" s="508"/>
      <c r="M3" s="506" t="s">
        <v>64</v>
      </c>
      <c r="N3" s="507"/>
      <c r="O3" s="508"/>
      <c r="P3" s="506" t="s">
        <v>65</v>
      </c>
      <c r="Q3" s="507"/>
      <c r="R3" s="508"/>
      <c r="S3" s="506" t="s">
        <v>66</v>
      </c>
      <c r="T3" s="507"/>
      <c r="U3" s="508"/>
      <c r="V3" s="506" t="s">
        <v>67</v>
      </c>
      <c r="W3" s="507"/>
      <c r="X3" s="508"/>
      <c r="Y3" s="506" t="s">
        <v>99</v>
      </c>
      <c r="Z3" s="507"/>
      <c r="AA3" s="508"/>
      <c r="AB3" s="506" t="s">
        <v>93</v>
      </c>
      <c r="AC3" s="507"/>
      <c r="AD3" s="508"/>
      <c r="AE3" s="506" t="s">
        <v>180</v>
      </c>
      <c r="AF3" s="507"/>
      <c r="AG3" s="507"/>
      <c r="AH3" s="507"/>
      <c r="AI3" s="508"/>
    </row>
    <row r="4" spans="1:35" ht="56.25" customHeight="1" x14ac:dyDescent="0.25">
      <c r="A4" s="109" t="s">
        <v>185</v>
      </c>
      <c r="B4" s="108" t="s">
        <v>96</v>
      </c>
      <c r="C4" s="13" t="s">
        <v>69</v>
      </c>
      <c r="D4" s="498" t="s">
        <v>41</v>
      </c>
      <c r="E4" s="499"/>
      <c r="F4" s="500"/>
      <c r="G4" s="498" t="s">
        <v>100</v>
      </c>
      <c r="H4" s="499"/>
      <c r="I4" s="500"/>
      <c r="J4" s="498" t="s">
        <v>42</v>
      </c>
      <c r="K4" s="499"/>
      <c r="L4" s="500"/>
      <c r="M4" s="498" t="s">
        <v>101</v>
      </c>
      <c r="N4" s="499"/>
      <c r="O4" s="500"/>
      <c r="P4" s="498" t="s">
        <v>43</v>
      </c>
      <c r="Q4" s="499"/>
      <c r="R4" s="500"/>
      <c r="S4" s="498" t="s">
        <v>45</v>
      </c>
      <c r="T4" s="499"/>
      <c r="U4" s="500"/>
      <c r="V4" s="498" t="s">
        <v>46</v>
      </c>
      <c r="W4" s="499"/>
      <c r="X4" s="500"/>
      <c r="Y4" s="498" t="s">
        <v>104</v>
      </c>
      <c r="Z4" s="499"/>
      <c r="AA4" s="500"/>
      <c r="AB4" s="498" t="s">
        <v>105</v>
      </c>
      <c r="AC4" s="499"/>
      <c r="AD4" s="500"/>
      <c r="AE4" s="503" t="s">
        <v>83</v>
      </c>
      <c r="AF4" s="504"/>
      <c r="AG4" s="504"/>
      <c r="AH4" s="504"/>
      <c r="AI4" s="505"/>
    </row>
    <row r="5" spans="1:35" ht="48.75" customHeight="1" x14ac:dyDescent="0.25">
      <c r="A5" s="11" t="s">
        <v>1</v>
      </c>
      <c r="B5" s="16"/>
      <c r="C5" s="13" t="s">
        <v>89</v>
      </c>
      <c r="D5" s="48" t="s">
        <v>385</v>
      </c>
      <c r="E5" s="14" t="s">
        <v>382</v>
      </c>
      <c r="F5" s="14" t="s">
        <v>416</v>
      </c>
      <c r="G5" s="48" t="s">
        <v>385</v>
      </c>
      <c r="H5" s="14" t="s">
        <v>382</v>
      </c>
      <c r="I5" s="14" t="s">
        <v>416</v>
      </c>
      <c r="J5" s="48" t="s">
        <v>385</v>
      </c>
      <c r="K5" s="14" t="s">
        <v>382</v>
      </c>
      <c r="L5" s="14" t="s">
        <v>416</v>
      </c>
      <c r="M5" s="48" t="s">
        <v>385</v>
      </c>
      <c r="N5" s="14" t="s">
        <v>382</v>
      </c>
      <c r="O5" s="14" t="s">
        <v>416</v>
      </c>
      <c r="P5" s="48" t="s">
        <v>385</v>
      </c>
      <c r="Q5" s="14" t="s">
        <v>382</v>
      </c>
      <c r="R5" s="14" t="s">
        <v>416</v>
      </c>
      <c r="S5" s="48" t="s">
        <v>385</v>
      </c>
      <c r="T5" s="14" t="s">
        <v>382</v>
      </c>
      <c r="U5" s="14" t="s">
        <v>416</v>
      </c>
      <c r="V5" s="48" t="s">
        <v>385</v>
      </c>
      <c r="W5" s="14" t="s">
        <v>382</v>
      </c>
      <c r="X5" s="14" t="s">
        <v>416</v>
      </c>
      <c r="Y5" s="48" t="s">
        <v>385</v>
      </c>
      <c r="Z5" s="14" t="s">
        <v>382</v>
      </c>
      <c r="AA5" s="14" t="s">
        <v>416</v>
      </c>
      <c r="AB5" s="48" t="s">
        <v>385</v>
      </c>
      <c r="AC5" s="14" t="s">
        <v>382</v>
      </c>
      <c r="AD5" s="14" t="s">
        <v>416</v>
      </c>
      <c r="AE5" s="48" t="s">
        <v>385</v>
      </c>
      <c r="AF5" s="14" t="s">
        <v>342</v>
      </c>
      <c r="AG5" s="48" t="s">
        <v>341</v>
      </c>
      <c r="AH5" s="14" t="s">
        <v>382</v>
      </c>
      <c r="AI5" s="14" t="s">
        <v>416</v>
      </c>
    </row>
    <row r="6" spans="1:35" s="43" customFormat="1" ht="33.75" customHeight="1" x14ac:dyDescent="0.25">
      <c r="A6" s="11" t="s">
        <v>3</v>
      </c>
      <c r="B6" s="111" t="s">
        <v>76</v>
      </c>
      <c r="C6" s="328" t="s">
        <v>330</v>
      </c>
      <c r="D6" s="83">
        <v>106352595</v>
      </c>
      <c r="E6" s="83">
        <v>112922988</v>
      </c>
      <c r="F6" s="83">
        <v>49383664</v>
      </c>
      <c r="G6" s="83">
        <v>13777607</v>
      </c>
      <c r="H6" s="83">
        <v>14701759</v>
      </c>
      <c r="I6" s="83">
        <v>6481751</v>
      </c>
      <c r="J6" s="83"/>
      <c r="K6" s="83"/>
      <c r="L6" s="83">
        <v>57550</v>
      </c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95">
        <f>D6+G6+J6+M6+P6+S6+V6+Y6</f>
        <v>120130202</v>
      </c>
      <c r="AF6" s="95">
        <f>E6+H6+K6+N6+Q6+T6+W6+Z6</f>
        <v>127624747</v>
      </c>
      <c r="AG6" s="95">
        <f t="shared" ref="AG6" si="0">G6+J6+M6+P6+S6+V6+Y6+AB6</f>
        <v>13777607</v>
      </c>
      <c r="AH6" s="95">
        <f>E6+H6+K6+N6+Q6+T6+W6+Z6</f>
        <v>127624747</v>
      </c>
      <c r="AI6" s="95">
        <f>F6+I6+L6+O6+R6+U6+X6+AA6</f>
        <v>55922965</v>
      </c>
    </row>
    <row r="7" spans="1:35" s="43" customFormat="1" ht="33.75" customHeight="1" x14ac:dyDescent="0.25">
      <c r="A7" s="11" t="s">
        <v>4</v>
      </c>
      <c r="B7" s="111" t="s">
        <v>76</v>
      </c>
      <c r="C7" s="328" t="s">
        <v>331</v>
      </c>
      <c r="D7" s="83"/>
      <c r="E7" s="83"/>
      <c r="F7" s="83"/>
      <c r="G7" s="83"/>
      <c r="H7" s="83"/>
      <c r="I7" s="83"/>
      <c r="J7" s="83">
        <v>1600000</v>
      </c>
      <c r="K7" s="83">
        <f>J7</f>
        <v>1600000</v>
      </c>
      <c r="L7" s="83">
        <v>1200000</v>
      </c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95">
        <f t="shared" ref="AE7:AE11" si="1">D7+G7+J7+M7+P7+S7+V7+Y7</f>
        <v>1600000</v>
      </c>
      <c r="AF7" s="95"/>
      <c r="AG7" s="95"/>
      <c r="AH7" s="95">
        <f t="shared" ref="AH7:AI14" si="2">E7+H7+K7+N7+Q7+T7+W7+Z7</f>
        <v>1600000</v>
      </c>
      <c r="AI7" s="95">
        <f t="shared" si="2"/>
        <v>1200000</v>
      </c>
    </row>
    <row r="8" spans="1:35" s="43" customFormat="1" ht="33.75" customHeight="1" x14ac:dyDescent="0.25">
      <c r="A8" s="11" t="s">
        <v>6</v>
      </c>
      <c r="B8" s="111" t="s">
        <v>76</v>
      </c>
      <c r="C8" s="328" t="s">
        <v>335</v>
      </c>
      <c r="D8" s="83">
        <v>640000</v>
      </c>
      <c r="E8" s="83">
        <f>D8</f>
        <v>640000</v>
      </c>
      <c r="F8" s="83">
        <v>526330</v>
      </c>
      <c r="G8" s="83">
        <v>74880</v>
      </c>
      <c r="H8" s="83">
        <f>G8</f>
        <v>74880</v>
      </c>
      <c r="I8" s="83">
        <v>74817</v>
      </c>
      <c r="J8" s="83">
        <v>13310566</v>
      </c>
      <c r="K8" s="83">
        <f>J8</f>
        <v>13310566</v>
      </c>
      <c r="L8" s="83">
        <v>4898531</v>
      </c>
      <c r="M8" s="83"/>
      <c r="N8" s="83"/>
      <c r="O8" s="83"/>
      <c r="P8" s="83"/>
      <c r="Q8" s="83"/>
      <c r="R8" s="83"/>
      <c r="S8" s="83"/>
      <c r="T8" s="83"/>
      <c r="U8" s="83">
        <v>11598</v>
      </c>
      <c r="V8" s="83"/>
      <c r="W8" s="83"/>
      <c r="X8" s="83"/>
      <c r="Y8" s="83"/>
      <c r="Z8" s="83"/>
      <c r="AA8" s="83"/>
      <c r="AB8" s="83"/>
      <c r="AC8" s="83"/>
      <c r="AD8" s="83"/>
      <c r="AE8" s="95">
        <f t="shared" si="1"/>
        <v>14025446</v>
      </c>
      <c r="AF8" s="95"/>
      <c r="AG8" s="95"/>
      <c r="AH8" s="95">
        <f t="shared" si="2"/>
        <v>14025446</v>
      </c>
      <c r="AI8" s="95">
        <f t="shared" si="2"/>
        <v>5511276</v>
      </c>
    </row>
    <row r="9" spans="1:35" s="43" customFormat="1" ht="33.75" customHeight="1" x14ac:dyDescent="0.25">
      <c r="A9" s="11" t="s">
        <v>8</v>
      </c>
      <c r="B9" s="111" t="s">
        <v>76</v>
      </c>
      <c r="C9" s="328" t="s">
        <v>332</v>
      </c>
      <c r="D9" s="83"/>
      <c r="E9" s="83"/>
      <c r="F9" s="83"/>
      <c r="G9" s="83"/>
      <c r="H9" s="83"/>
      <c r="I9" s="83"/>
      <c r="J9" s="83">
        <v>38081102</v>
      </c>
      <c r="K9" s="83">
        <f>J9</f>
        <v>38081102</v>
      </c>
      <c r="L9" s="83">
        <v>15613431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95">
        <f t="shared" si="1"/>
        <v>38081102</v>
      </c>
      <c r="AF9" s="95"/>
      <c r="AG9" s="95"/>
      <c r="AH9" s="95">
        <f t="shared" si="2"/>
        <v>38081102</v>
      </c>
      <c r="AI9" s="95">
        <f t="shared" si="2"/>
        <v>15613431</v>
      </c>
    </row>
    <row r="10" spans="1:35" s="43" customFormat="1" ht="33.75" customHeight="1" x14ac:dyDescent="0.25">
      <c r="A10" s="11" t="s">
        <v>19</v>
      </c>
      <c r="B10" s="111" t="s">
        <v>76</v>
      </c>
      <c r="C10" s="328" t="s">
        <v>333</v>
      </c>
      <c r="D10" s="83">
        <v>29207236</v>
      </c>
      <c r="E10" s="83">
        <v>33323236</v>
      </c>
      <c r="F10" s="83">
        <v>14422056</v>
      </c>
      <c r="G10" s="83">
        <v>3796941</v>
      </c>
      <c r="H10" s="83">
        <v>3796941</v>
      </c>
      <c r="I10" s="83">
        <v>1879308</v>
      </c>
      <c r="J10" s="83">
        <v>2106402</v>
      </c>
      <c r="K10" s="83">
        <f>J10</f>
        <v>2106402</v>
      </c>
      <c r="L10" s="83">
        <v>499090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95">
        <f t="shared" si="1"/>
        <v>35110579</v>
      </c>
      <c r="AF10" s="95"/>
      <c r="AG10" s="95"/>
      <c r="AH10" s="95">
        <f t="shared" si="2"/>
        <v>39226579</v>
      </c>
      <c r="AI10" s="95">
        <f t="shared" si="2"/>
        <v>16800454</v>
      </c>
    </row>
    <row r="11" spans="1:35" s="43" customFormat="1" ht="33.75" customHeight="1" x14ac:dyDescent="0.25">
      <c r="A11" s="11" t="s">
        <v>21</v>
      </c>
      <c r="B11" s="111" t="s">
        <v>76</v>
      </c>
      <c r="C11" s="328" t="s">
        <v>334</v>
      </c>
      <c r="D11" s="83"/>
      <c r="E11" s="83"/>
      <c r="F11" s="83"/>
      <c r="G11" s="83"/>
      <c r="H11" s="83"/>
      <c r="I11" s="83"/>
      <c r="J11" s="83">
        <v>6635344</v>
      </c>
      <c r="K11" s="83">
        <f>J11</f>
        <v>6635344</v>
      </c>
      <c r="L11" s="83">
        <v>4459965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95">
        <f t="shared" si="1"/>
        <v>6635344</v>
      </c>
      <c r="AF11" s="95"/>
      <c r="AG11" s="95"/>
      <c r="AH11" s="95">
        <f t="shared" si="2"/>
        <v>6635344</v>
      </c>
      <c r="AI11" s="95">
        <f t="shared" si="2"/>
        <v>4459965</v>
      </c>
    </row>
    <row r="12" spans="1:35" x14ac:dyDescent="0.25">
      <c r="A12" s="11" t="s">
        <v>22</v>
      </c>
      <c r="B12" s="20"/>
      <c r="C12" s="65" t="s">
        <v>91</v>
      </c>
      <c r="D12" s="7">
        <f>SUM(D6:D11)</f>
        <v>136199831</v>
      </c>
      <c r="E12" s="7">
        <f t="shared" ref="E12:AG12" si="3">SUM(E6:E11)</f>
        <v>146886224</v>
      </c>
      <c r="F12" s="7">
        <f t="shared" si="3"/>
        <v>64332050</v>
      </c>
      <c r="G12" s="7">
        <f t="shared" si="3"/>
        <v>17649428</v>
      </c>
      <c r="H12" s="7">
        <f t="shared" si="3"/>
        <v>18573580</v>
      </c>
      <c r="I12" s="7">
        <f t="shared" si="3"/>
        <v>8435876</v>
      </c>
      <c r="J12" s="7">
        <f t="shared" si="3"/>
        <v>61733414</v>
      </c>
      <c r="K12" s="7">
        <f t="shared" si="3"/>
        <v>61733414</v>
      </c>
      <c r="L12" s="7">
        <f t="shared" si="3"/>
        <v>26728567</v>
      </c>
      <c r="M12" s="7">
        <f t="shared" si="3"/>
        <v>0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11598</v>
      </c>
      <c r="V12" s="7">
        <f t="shared" si="3"/>
        <v>0</v>
      </c>
      <c r="W12" s="7">
        <f t="shared" si="3"/>
        <v>0</v>
      </c>
      <c r="X12" s="7">
        <f t="shared" si="3"/>
        <v>0</v>
      </c>
      <c r="Y12" s="7">
        <f t="shared" si="3"/>
        <v>0</v>
      </c>
      <c r="Z12" s="7">
        <f t="shared" si="3"/>
        <v>0</v>
      </c>
      <c r="AA12" s="7">
        <f t="shared" si="3"/>
        <v>0</v>
      </c>
      <c r="AB12" s="7">
        <f t="shared" si="3"/>
        <v>0</v>
      </c>
      <c r="AC12" s="7">
        <f t="shared" si="3"/>
        <v>0</v>
      </c>
      <c r="AD12" s="7">
        <f t="shared" si="3"/>
        <v>0</v>
      </c>
      <c r="AE12" s="7">
        <f>SUM(AE6:AE11)</f>
        <v>215582673</v>
      </c>
      <c r="AF12" s="7">
        <f t="shared" si="3"/>
        <v>127624747</v>
      </c>
      <c r="AG12" s="7">
        <f t="shared" si="3"/>
        <v>13777607</v>
      </c>
      <c r="AH12" s="95">
        <f t="shared" si="2"/>
        <v>227193218</v>
      </c>
      <c r="AI12" s="95">
        <f t="shared" si="2"/>
        <v>99508091</v>
      </c>
    </row>
    <row r="13" spans="1:35" x14ac:dyDescent="0.25">
      <c r="A13" s="11" t="s">
        <v>24</v>
      </c>
      <c r="B13" s="20"/>
      <c r="C13" s="20" t="s">
        <v>81</v>
      </c>
      <c r="D13" s="64">
        <f>SUMIF($B6:$B11,"kötelező",D6:D11)</f>
        <v>136199831</v>
      </c>
      <c r="E13" s="64">
        <f t="shared" ref="E13:AG13" si="4">SUMIF($B6:$B11,"kötelező",E6:E11)</f>
        <v>146886224</v>
      </c>
      <c r="F13" s="64">
        <f t="shared" si="4"/>
        <v>64332050</v>
      </c>
      <c r="G13" s="64">
        <f t="shared" si="4"/>
        <v>17649428</v>
      </c>
      <c r="H13" s="64">
        <f t="shared" si="4"/>
        <v>18573580</v>
      </c>
      <c r="I13" s="64">
        <f t="shared" si="4"/>
        <v>8435876</v>
      </c>
      <c r="J13" s="64">
        <f t="shared" si="4"/>
        <v>61733414</v>
      </c>
      <c r="K13" s="64">
        <f t="shared" si="4"/>
        <v>61733414</v>
      </c>
      <c r="L13" s="64">
        <f t="shared" si="4"/>
        <v>26728567</v>
      </c>
      <c r="M13" s="64">
        <f t="shared" si="4"/>
        <v>0</v>
      </c>
      <c r="N13" s="64">
        <f t="shared" si="4"/>
        <v>0</v>
      </c>
      <c r="O13" s="64">
        <f t="shared" si="4"/>
        <v>0</v>
      </c>
      <c r="P13" s="64">
        <f t="shared" si="4"/>
        <v>0</v>
      </c>
      <c r="Q13" s="64">
        <f t="shared" si="4"/>
        <v>0</v>
      </c>
      <c r="R13" s="64">
        <f t="shared" si="4"/>
        <v>0</v>
      </c>
      <c r="S13" s="64">
        <f t="shared" si="4"/>
        <v>0</v>
      </c>
      <c r="T13" s="64">
        <f t="shared" si="4"/>
        <v>0</v>
      </c>
      <c r="U13" s="64">
        <f t="shared" si="4"/>
        <v>11598</v>
      </c>
      <c r="V13" s="64">
        <f t="shared" si="4"/>
        <v>0</v>
      </c>
      <c r="W13" s="64">
        <f t="shared" si="4"/>
        <v>0</v>
      </c>
      <c r="X13" s="64">
        <f t="shared" si="4"/>
        <v>0</v>
      </c>
      <c r="Y13" s="64">
        <f t="shared" si="4"/>
        <v>0</v>
      </c>
      <c r="Z13" s="64">
        <f t="shared" si="4"/>
        <v>0</v>
      </c>
      <c r="AA13" s="64">
        <f t="shared" si="4"/>
        <v>0</v>
      </c>
      <c r="AB13" s="64">
        <f t="shared" si="4"/>
        <v>0</v>
      </c>
      <c r="AC13" s="64">
        <f t="shared" si="4"/>
        <v>0</v>
      </c>
      <c r="AD13" s="64">
        <f t="shared" si="4"/>
        <v>0</v>
      </c>
      <c r="AE13" s="64">
        <f t="shared" si="4"/>
        <v>215582673</v>
      </c>
      <c r="AF13" s="64">
        <f t="shared" si="4"/>
        <v>127624747</v>
      </c>
      <c r="AG13" s="64">
        <f t="shared" si="4"/>
        <v>13777607</v>
      </c>
      <c r="AH13" s="95">
        <f t="shared" si="2"/>
        <v>227193218</v>
      </c>
      <c r="AI13" s="95">
        <f t="shared" si="2"/>
        <v>99508091</v>
      </c>
    </row>
    <row r="14" spans="1:35" x14ac:dyDescent="0.25">
      <c r="A14" s="11" t="s">
        <v>25</v>
      </c>
      <c r="B14" s="20"/>
      <c r="C14" s="20" t="s">
        <v>82</v>
      </c>
      <c r="D14" s="64">
        <f>SUMIF($B6:$B10,"nem kötelező",D6:D10)</f>
        <v>0</v>
      </c>
      <c r="E14" s="64">
        <f t="shared" ref="E14:AG14" si="5">SUMIF($B6:$B10,"nem kötelező",E6:E10)</f>
        <v>0</v>
      </c>
      <c r="F14" s="64">
        <f t="shared" si="5"/>
        <v>0</v>
      </c>
      <c r="G14" s="64">
        <f t="shared" si="5"/>
        <v>0</v>
      </c>
      <c r="H14" s="64">
        <f t="shared" si="5"/>
        <v>0</v>
      </c>
      <c r="I14" s="64">
        <f t="shared" si="5"/>
        <v>0</v>
      </c>
      <c r="J14" s="64">
        <f t="shared" si="5"/>
        <v>0</v>
      </c>
      <c r="K14" s="64">
        <f t="shared" si="5"/>
        <v>0</v>
      </c>
      <c r="L14" s="64">
        <f t="shared" si="5"/>
        <v>0</v>
      </c>
      <c r="M14" s="64">
        <f t="shared" si="5"/>
        <v>0</v>
      </c>
      <c r="N14" s="64">
        <f t="shared" si="5"/>
        <v>0</v>
      </c>
      <c r="O14" s="64">
        <f t="shared" si="5"/>
        <v>0</v>
      </c>
      <c r="P14" s="64">
        <f t="shared" si="5"/>
        <v>0</v>
      </c>
      <c r="Q14" s="64">
        <f t="shared" si="5"/>
        <v>0</v>
      </c>
      <c r="R14" s="64">
        <f t="shared" si="5"/>
        <v>0</v>
      </c>
      <c r="S14" s="64">
        <f t="shared" si="5"/>
        <v>0</v>
      </c>
      <c r="T14" s="64">
        <f t="shared" si="5"/>
        <v>0</v>
      </c>
      <c r="U14" s="64">
        <f t="shared" si="5"/>
        <v>0</v>
      </c>
      <c r="V14" s="64">
        <f t="shared" si="5"/>
        <v>0</v>
      </c>
      <c r="W14" s="64">
        <f t="shared" si="5"/>
        <v>0</v>
      </c>
      <c r="X14" s="64">
        <f t="shared" si="5"/>
        <v>0</v>
      </c>
      <c r="Y14" s="64">
        <f t="shared" si="5"/>
        <v>0</v>
      </c>
      <c r="Z14" s="64">
        <f t="shared" si="5"/>
        <v>0</v>
      </c>
      <c r="AA14" s="64">
        <f t="shared" si="5"/>
        <v>0</v>
      </c>
      <c r="AB14" s="64">
        <f t="shared" si="5"/>
        <v>0</v>
      </c>
      <c r="AC14" s="64">
        <f t="shared" si="5"/>
        <v>0</v>
      </c>
      <c r="AD14" s="64">
        <f t="shared" si="5"/>
        <v>0</v>
      </c>
      <c r="AE14" s="64">
        <f t="shared" si="5"/>
        <v>0</v>
      </c>
      <c r="AF14" s="64">
        <f t="shared" si="5"/>
        <v>0</v>
      </c>
      <c r="AG14" s="64">
        <f t="shared" si="5"/>
        <v>0</v>
      </c>
      <c r="AH14" s="95">
        <f t="shared" si="2"/>
        <v>0</v>
      </c>
      <c r="AI14" s="95">
        <f t="shared" si="2"/>
        <v>0</v>
      </c>
    </row>
    <row r="15" spans="1:35" x14ac:dyDescent="0.25">
      <c r="AH15" s="21"/>
    </row>
    <row r="16" spans="1:35" x14ac:dyDescent="0.25">
      <c r="AE16" s="21"/>
      <c r="AH16" s="21"/>
    </row>
  </sheetData>
  <mergeCells count="21">
    <mergeCell ref="AB4:AD4"/>
    <mergeCell ref="AE3:AI3"/>
    <mergeCell ref="AE4:AI4"/>
    <mergeCell ref="S3:U3"/>
    <mergeCell ref="S4:U4"/>
    <mergeCell ref="V3:X3"/>
    <mergeCell ref="V4:X4"/>
    <mergeCell ref="Y3:AA3"/>
    <mergeCell ref="Y4:AA4"/>
    <mergeCell ref="D4:F4"/>
    <mergeCell ref="G4:I4"/>
    <mergeCell ref="J4:L4"/>
    <mergeCell ref="M4:O4"/>
    <mergeCell ref="P4:R4"/>
    <mergeCell ref="C2:AH2"/>
    <mergeCell ref="D3:F3"/>
    <mergeCell ref="G3:I3"/>
    <mergeCell ref="J3:L3"/>
    <mergeCell ref="M3:O3"/>
    <mergeCell ref="P3:R3"/>
    <mergeCell ref="AB3:AD3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'2.melléklet.Önkormányzat.és int'!Nyomtatási_terület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2023-09-28T11:39:43Z</dcterms:modified>
</cp:coreProperties>
</file>