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643FCE0A-4AF7-45C6-BC40-C6E35FFA319C}" xr6:coauthVersionLast="34" xr6:coauthVersionMax="34" xr10:uidLastSave="{00000000-0000-0000-0000-000000000000}"/>
  <bookViews>
    <workbookView xWindow="0" yWindow="0" windowWidth="13305" windowHeight="9360" firstSheet="4" activeTab="10" xr2:uid="{00000000-000D-0000-FFFF-FFFF00000000}"/>
  </bookViews>
  <sheets>
    <sheet name="1.melléklet.Önkormányzat" sheetId="52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</sheets>
  <definedNames>
    <definedName name="_xlnm._FilterDatabase" localSheetId="1" hidden="1">'2.melléklet.Önkormányzat.és int'!$B$3:$AK$23</definedName>
    <definedName name="_xlnm.Print_Area" localSheetId="9">'10.melléklet.létszám'!$A$1:$I$17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8">'9. Óvoda kiad'!$A$2:$AF$14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E36" i="40" l="1"/>
  <c r="E33" i="40"/>
  <c r="E27" i="40"/>
  <c r="E12" i="40"/>
  <c r="E66" i="52" l="1"/>
  <c r="F66" i="52" s="1"/>
  <c r="D66" i="52"/>
  <c r="C66" i="52"/>
  <c r="C65" i="52" s="1"/>
  <c r="C70" i="52" s="1"/>
  <c r="D65" i="52"/>
  <c r="D70" i="52" s="1"/>
  <c r="E63" i="52"/>
  <c r="E56" i="52" s="1"/>
  <c r="D63" i="52"/>
  <c r="C63" i="52"/>
  <c r="D62" i="52"/>
  <c r="C62" i="52"/>
  <c r="C61" i="52" s="1"/>
  <c r="D61" i="52"/>
  <c r="E59" i="52"/>
  <c r="D59" i="52"/>
  <c r="C59" i="52"/>
  <c r="E57" i="52"/>
  <c r="D57" i="52"/>
  <c r="F57" i="52" s="1"/>
  <c r="C57" i="52"/>
  <c r="C56" i="52" s="1"/>
  <c r="D53" i="52"/>
  <c r="F53" i="52" s="1"/>
  <c r="C53" i="52"/>
  <c r="E52" i="52"/>
  <c r="D52" i="52"/>
  <c r="C52" i="52"/>
  <c r="E51" i="52"/>
  <c r="F51" i="52" s="1"/>
  <c r="D51" i="52"/>
  <c r="C51" i="52"/>
  <c r="E50" i="52"/>
  <c r="D50" i="52"/>
  <c r="C50" i="52"/>
  <c r="E49" i="52"/>
  <c r="D49" i="52"/>
  <c r="C49" i="52"/>
  <c r="E48" i="52"/>
  <c r="D48" i="52"/>
  <c r="D47" i="52" s="1"/>
  <c r="C48" i="52"/>
  <c r="E36" i="52"/>
  <c r="F36" i="52" s="1"/>
  <c r="D36" i="52"/>
  <c r="C35" i="52"/>
  <c r="D27" i="52"/>
  <c r="F27" i="52" s="1"/>
  <c r="D26" i="52"/>
  <c r="F26" i="52" s="1"/>
  <c r="D25" i="52"/>
  <c r="F25" i="52" s="1"/>
  <c r="F24" i="52"/>
  <c r="D24" i="52"/>
  <c r="E22" i="52"/>
  <c r="C22" i="52"/>
  <c r="C12" i="52"/>
  <c r="D12" i="52" s="1"/>
  <c r="F11" i="52"/>
  <c r="D11" i="52"/>
  <c r="D10" i="52"/>
  <c r="F10" i="52" s="1"/>
  <c r="D9" i="52"/>
  <c r="F9" i="52" s="1"/>
  <c r="F8" i="52"/>
  <c r="D8" i="52"/>
  <c r="F7" i="52"/>
  <c r="D7" i="52"/>
  <c r="E6" i="52"/>
  <c r="C6" i="52"/>
  <c r="D22" i="52" l="1"/>
  <c r="F22" i="52" s="1"/>
  <c r="C47" i="52"/>
  <c r="C64" i="52" s="1"/>
  <c r="F49" i="52"/>
  <c r="F50" i="52"/>
  <c r="D56" i="52"/>
  <c r="F63" i="52"/>
  <c r="E65" i="52"/>
  <c r="E70" i="52" s="1"/>
  <c r="F70" i="52" s="1"/>
  <c r="C71" i="52"/>
  <c r="F12" i="52"/>
  <c r="D6" i="52"/>
  <c r="D64" i="52"/>
  <c r="D71" i="52" s="1"/>
  <c r="F56" i="52"/>
  <c r="E47" i="52"/>
  <c r="F48" i="52"/>
  <c r="F52" i="52"/>
  <c r="F59" i="52"/>
  <c r="F65" i="52"/>
  <c r="F47" i="52" l="1"/>
  <c r="E64" i="52"/>
  <c r="F6" i="52"/>
  <c r="E71" i="52" l="1"/>
  <c r="F64" i="52"/>
  <c r="F71" i="52" l="1"/>
  <c r="E13" i="39" l="1"/>
  <c r="E12" i="39"/>
  <c r="AD16" i="25"/>
  <c r="E11" i="39"/>
  <c r="E10" i="39"/>
  <c r="AU55" i="26"/>
  <c r="AU54" i="26"/>
  <c r="E35" i="38"/>
  <c r="E23" i="38"/>
  <c r="E38" i="38" l="1"/>
  <c r="AZ62" i="26"/>
  <c r="F52" i="26"/>
  <c r="G52" i="26"/>
  <c r="H52" i="26"/>
  <c r="I52" i="26"/>
  <c r="I66" i="26" s="1"/>
  <c r="J52" i="26"/>
  <c r="K52" i="26"/>
  <c r="L52" i="26"/>
  <c r="M52" i="26"/>
  <c r="M66" i="26" s="1"/>
  <c r="M67" i="26" s="1"/>
  <c r="N52" i="26"/>
  <c r="O52" i="26"/>
  <c r="P52" i="26"/>
  <c r="Q52" i="26"/>
  <c r="Q66" i="26" s="1"/>
  <c r="Q67" i="26" s="1"/>
  <c r="R52" i="26"/>
  <c r="S52" i="26"/>
  <c r="T52" i="26"/>
  <c r="U52" i="26"/>
  <c r="U66" i="26" s="1"/>
  <c r="U67" i="26" s="1"/>
  <c r="V52" i="26"/>
  <c r="W52" i="26"/>
  <c r="X52" i="26"/>
  <c r="Y52" i="26"/>
  <c r="Y66" i="26" s="1"/>
  <c r="Y67" i="26" s="1"/>
  <c r="Z52" i="26"/>
  <c r="AA52" i="26"/>
  <c r="AB52" i="26"/>
  <c r="AC52" i="26"/>
  <c r="AC66" i="26" s="1"/>
  <c r="AC67" i="26" s="1"/>
  <c r="AD52" i="26"/>
  <c r="AE52" i="26"/>
  <c r="AF52" i="26"/>
  <c r="AG52" i="26"/>
  <c r="AG66" i="26" s="1"/>
  <c r="AG67" i="26" s="1"/>
  <c r="AH52" i="26"/>
  <c r="AI52" i="26"/>
  <c r="AJ52" i="26"/>
  <c r="AK52" i="26"/>
  <c r="AK66" i="26" s="1"/>
  <c r="AL52" i="26"/>
  <c r="AM52" i="26"/>
  <c r="AN52" i="26"/>
  <c r="AO52" i="26"/>
  <c r="AO66" i="26" s="1"/>
  <c r="AP52" i="26"/>
  <c r="AQ52" i="26"/>
  <c r="AR52" i="26"/>
  <c r="AS52" i="26"/>
  <c r="AS66" i="26" s="1"/>
  <c r="AT52" i="26"/>
  <c r="AU52" i="26"/>
  <c r="AV52" i="26"/>
  <c r="AW52" i="26"/>
  <c r="AW66" i="26" s="1"/>
  <c r="AX52" i="26"/>
  <c r="AX66" i="26" s="1"/>
  <c r="AY52" i="26"/>
  <c r="F51" i="26"/>
  <c r="G51" i="26"/>
  <c r="H51" i="26"/>
  <c r="I51" i="26"/>
  <c r="J51" i="26"/>
  <c r="K51" i="26"/>
  <c r="L51" i="26"/>
  <c r="M51" i="26"/>
  <c r="N51" i="26"/>
  <c r="N64" i="26" s="1"/>
  <c r="O51" i="26"/>
  <c r="P51" i="26"/>
  <c r="Q51" i="26"/>
  <c r="R51" i="26"/>
  <c r="R64" i="26" s="1"/>
  <c r="S51" i="26"/>
  <c r="T51" i="26"/>
  <c r="U51" i="26"/>
  <c r="V51" i="26"/>
  <c r="V64" i="26" s="1"/>
  <c r="W51" i="26"/>
  <c r="X51" i="26"/>
  <c r="Y51" i="26"/>
  <c r="Z51" i="26"/>
  <c r="Z64" i="26" s="1"/>
  <c r="AA51" i="26"/>
  <c r="AB51" i="26"/>
  <c r="AC51" i="26"/>
  <c r="AD51" i="26"/>
  <c r="AE51" i="26"/>
  <c r="AF51" i="26"/>
  <c r="AG51" i="26"/>
  <c r="AH51" i="26"/>
  <c r="AH64" i="26" s="1"/>
  <c r="AI51" i="26"/>
  <c r="AJ51" i="26"/>
  <c r="AK51" i="26"/>
  <c r="AL51" i="26"/>
  <c r="AL64" i="26" s="1"/>
  <c r="AM51" i="26"/>
  <c r="AN51" i="26"/>
  <c r="AO51" i="26"/>
  <c r="AP51" i="26"/>
  <c r="AP64" i="26" s="1"/>
  <c r="AQ51" i="26"/>
  <c r="AR51" i="26"/>
  <c r="AS51" i="26"/>
  <c r="AV51" i="26"/>
  <c r="AY51" i="26"/>
  <c r="AG61" i="26"/>
  <c r="AD61" i="26"/>
  <c r="AD60" i="26"/>
  <c r="AD64" i="26" s="1"/>
  <c r="L61" i="26"/>
  <c r="L59" i="26" s="1"/>
  <c r="L62" i="26" s="1"/>
  <c r="L60" i="26"/>
  <c r="L64" i="26" s="1"/>
  <c r="K67" i="26"/>
  <c r="AQ67" i="26"/>
  <c r="F66" i="26"/>
  <c r="G66" i="26"/>
  <c r="G67" i="26" s="1"/>
  <c r="H66" i="26"/>
  <c r="H67" i="26" s="1"/>
  <c r="J66" i="26"/>
  <c r="K66" i="26"/>
  <c r="L66" i="26"/>
  <c r="N66" i="26"/>
  <c r="O66" i="26"/>
  <c r="P66" i="26"/>
  <c r="P67" i="26" s="1"/>
  <c r="R66" i="26"/>
  <c r="S66" i="26"/>
  <c r="T66" i="26"/>
  <c r="T67" i="26" s="1"/>
  <c r="V66" i="26"/>
  <c r="W66" i="26"/>
  <c r="X66" i="26"/>
  <c r="X67" i="26" s="1"/>
  <c r="Z66" i="26"/>
  <c r="AA66" i="26"/>
  <c r="AB66" i="26"/>
  <c r="AB67" i="26" s="1"/>
  <c r="AD66" i="26"/>
  <c r="AE66" i="26"/>
  <c r="AF66" i="26"/>
  <c r="AH66" i="26"/>
  <c r="AI66" i="26"/>
  <c r="AI67" i="26" s="1"/>
  <c r="AJ66" i="26"/>
  <c r="AL66" i="26"/>
  <c r="AM66" i="26"/>
  <c r="AM67" i="26" s="1"/>
  <c r="AN66" i="26"/>
  <c r="AP66" i="26"/>
  <c r="AQ66" i="26"/>
  <c r="AR66" i="26"/>
  <c r="AT66" i="26"/>
  <c r="AU66" i="26"/>
  <c r="AV66" i="26"/>
  <c r="AV67" i="26" s="1"/>
  <c r="F65" i="26"/>
  <c r="G65" i="26"/>
  <c r="H65" i="26"/>
  <c r="I65" i="26"/>
  <c r="J65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AP65" i="26"/>
  <c r="AQ65" i="26"/>
  <c r="AR65" i="26"/>
  <c r="AS65" i="26"/>
  <c r="AT65" i="26"/>
  <c r="AU65" i="26"/>
  <c r="AV65" i="26"/>
  <c r="AW65" i="26"/>
  <c r="AX65" i="26"/>
  <c r="AY65" i="26"/>
  <c r="F64" i="26"/>
  <c r="F67" i="26" s="1"/>
  <c r="G64" i="26"/>
  <c r="H64" i="26"/>
  <c r="I64" i="26"/>
  <c r="J64" i="26"/>
  <c r="J67" i="26" s="1"/>
  <c r="K64" i="26"/>
  <c r="M64" i="26"/>
  <c r="O64" i="26"/>
  <c r="O67" i="26" s="1"/>
  <c r="P64" i="26"/>
  <c r="Q64" i="26"/>
  <c r="S64" i="26"/>
  <c r="S67" i="26" s="1"/>
  <c r="T64" i="26"/>
  <c r="U64" i="26"/>
  <c r="W64" i="26"/>
  <c r="W67" i="26" s="1"/>
  <c r="X64" i="26"/>
  <c r="Y64" i="26"/>
  <c r="AA64" i="26"/>
  <c r="AA67" i="26" s="1"/>
  <c r="AB64" i="26"/>
  <c r="AC64" i="26"/>
  <c r="AE64" i="26"/>
  <c r="AE67" i="26" s="1"/>
  <c r="AF64" i="26"/>
  <c r="AG64" i="26"/>
  <c r="AI64" i="26"/>
  <c r="AJ64" i="26"/>
  <c r="AJ67" i="26" s="1"/>
  <c r="AK64" i="26"/>
  <c r="AM64" i="26"/>
  <c r="AN64" i="26"/>
  <c r="AO64" i="26"/>
  <c r="AQ64" i="26"/>
  <c r="AR64" i="26"/>
  <c r="AS64" i="26"/>
  <c r="AV64" i="26"/>
  <c r="F62" i="26"/>
  <c r="G62" i="26"/>
  <c r="H62" i="26"/>
  <c r="I62" i="26"/>
  <c r="J62" i="26"/>
  <c r="K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E62" i="26"/>
  <c r="AF62" i="26"/>
  <c r="AH62" i="26"/>
  <c r="AI62" i="26"/>
  <c r="AJ62" i="26"/>
  <c r="AK62" i="26"/>
  <c r="AL62" i="26"/>
  <c r="AM62" i="26"/>
  <c r="AN62" i="26"/>
  <c r="AO62" i="26"/>
  <c r="AP62" i="26"/>
  <c r="AQ62" i="26"/>
  <c r="AR62" i="26"/>
  <c r="AS62" i="26"/>
  <c r="AV62" i="26"/>
  <c r="F59" i="26"/>
  <c r="G59" i="26"/>
  <c r="H59" i="26"/>
  <c r="I59" i="26"/>
  <c r="J59" i="26"/>
  <c r="K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D62" i="26" s="1"/>
  <c r="AE59" i="26"/>
  <c r="AF59" i="26"/>
  <c r="AG59" i="26"/>
  <c r="AG62" i="26" s="1"/>
  <c r="AH59" i="26"/>
  <c r="AI59" i="26"/>
  <c r="AJ59" i="26"/>
  <c r="AK59" i="26"/>
  <c r="AL59" i="26"/>
  <c r="AM59" i="26"/>
  <c r="AN59" i="26"/>
  <c r="AO59" i="26"/>
  <c r="AP59" i="26"/>
  <c r="AQ59" i="26"/>
  <c r="AR59" i="26"/>
  <c r="AS59" i="26"/>
  <c r="AT59" i="26"/>
  <c r="AV59" i="26"/>
  <c r="AW59" i="26"/>
  <c r="AX59" i="26"/>
  <c r="I61" i="26"/>
  <c r="I60" i="26"/>
  <c r="F61" i="26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I16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F60" i="26"/>
  <c r="AD57" i="26"/>
  <c r="AD56" i="26" s="1"/>
  <c r="L57" i="26"/>
  <c r="I57" i="26"/>
  <c r="F56" i="26"/>
  <c r="G56" i="26"/>
  <c r="H56" i="26"/>
  <c r="I56" i="26"/>
  <c r="J56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E56" i="26"/>
  <c r="AF56" i="26"/>
  <c r="AG56" i="26"/>
  <c r="AH56" i="26"/>
  <c r="AI56" i="26"/>
  <c r="AJ56" i="26"/>
  <c r="AK56" i="26"/>
  <c r="AL56" i="26"/>
  <c r="AM56" i="26"/>
  <c r="AN56" i="26"/>
  <c r="AO56" i="26"/>
  <c r="AP56" i="26"/>
  <c r="AQ56" i="26"/>
  <c r="AR56" i="26"/>
  <c r="AS56" i="26"/>
  <c r="AT56" i="26"/>
  <c r="AU56" i="26"/>
  <c r="AV56" i="26"/>
  <c r="AW56" i="26"/>
  <c r="AX56" i="26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F57" i="26"/>
  <c r="I55" i="26"/>
  <c r="I53" i="26" s="1"/>
  <c r="F55" i="26"/>
  <c r="F53" i="26" s="1"/>
  <c r="AY54" i="26"/>
  <c r="L55" i="26"/>
  <c r="L53" i="26" s="1"/>
  <c r="L54" i="26"/>
  <c r="I54" i="26"/>
  <c r="G53" i="26"/>
  <c r="H53" i="26"/>
  <c r="J53" i="26"/>
  <c r="K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AP53" i="26"/>
  <c r="AQ53" i="26"/>
  <c r="AR53" i="26"/>
  <c r="AS53" i="26"/>
  <c r="AT53" i="26"/>
  <c r="AU53" i="26"/>
  <c r="AV53" i="26"/>
  <c r="AW53" i="26"/>
  <c r="AX53" i="26"/>
  <c r="F54" i="26"/>
  <c r="AG38" i="22"/>
  <c r="AG36" i="22" s="1"/>
  <c r="F28" i="22"/>
  <c r="F42" i="22" s="1"/>
  <c r="G28" i="22"/>
  <c r="H28" i="22"/>
  <c r="I28" i="22"/>
  <c r="I42" i="22" s="1"/>
  <c r="J28" i="22"/>
  <c r="J42" i="22" s="1"/>
  <c r="K28" i="22"/>
  <c r="L28" i="22"/>
  <c r="M28" i="22"/>
  <c r="M42" i="22" s="1"/>
  <c r="N28" i="22"/>
  <c r="O28" i="22"/>
  <c r="P28" i="22"/>
  <c r="R28" i="22"/>
  <c r="R42" i="22" s="1"/>
  <c r="S28" i="22"/>
  <c r="T28" i="22"/>
  <c r="T42" i="22" s="1"/>
  <c r="U28" i="22"/>
  <c r="U42" i="22" s="1"/>
  <c r="V28" i="22"/>
  <c r="V42" i="22" s="1"/>
  <c r="W28" i="22"/>
  <c r="W42" i="22" s="1"/>
  <c r="X28" i="22"/>
  <c r="Y28" i="22"/>
  <c r="Y42" i="22" s="1"/>
  <c r="Z28" i="22"/>
  <c r="Z42" i="22" s="1"/>
  <c r="AA28" i="22"/>
  <c r="AB28" i="22"/>
  <c r="AC28" i="22"/>
  <c r="AD28" i="22"/>
  <c r="AE28" i="22"/>
  <c r="AF28" i="22"/>
  <c r="AG28" i="22"/>
  <c r="AH28" i="22"/>
  <c r="AI28" i="22"/>
  <c r="AJ28" i="22"/>
  <c r="F26" i="22"/>
  <c r="G26" i="22"/>
  <c r="I26" i="22"/>
  <c r="I41" i="22" s="1"/>
  <c r="L26" i="22"/>
  <c r="M26" i="22"/>
  <c r="M41" i="22" s="1"/>
  <c r="O26" i="22"/>
  <c r="P26" i="22"/>
  <c r="R26" i="22"/>
  <c r="R41" i="22" s="1"/>
  <c r="S26" i="22"/>
  <c r="T41" i="22"/>
  <c r="U26" i="22"/>
  <c r="U41" i="22" s="1"/>
  <c r="V26" i="22"/>
  <c r="X26" i="22"/>
  <c r="X41" i="22" s="1"/>
  <c r="Y26" i="22"/>
  <c r="Y41" i="22" s="1"/>
  <c r="AA26" i="22"/>
  <c r="AB26" i="22"/>
  <c r="AB41" i="22" s="1"/>
  <c r="AC26" i="22"/>
  <c r="AC41" i="22" s="1"/>
  <c r="AD26" i="22"/>
  <c r="AE26" i="22"/>
  <c r="AG26" i="22"/>
  <c r="AH26" i="22"/>
  <c r="AI26" i="22"/>
  <c r="AJ26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J43" i="22"/>
  <c r="X42" i="22"/>
  <c r="AA42" i="22"/>
  <c r="AD42" i="22"/>
  <c r="G42" i="22"/>
  <c r="H42" i="22"/>
  <c r="K42" i="22"/>
  <c r="L42" i="22"/>
  <c r="N42" i="22"/>
  <c r="O42" i="22"/>
  <c r="P42" i="22"/>
  <c r="S42" i="22"/>
  <c r="S44" i="22" s="1"/>
  <c r="L41" i="22"/>
  <c r="O41" i="22"/>
  <c r="P41" i="22"/>
  <c r="S41" i="22"/>
  <c r="V41" i="22"/>
  <c r="AA41" i="22"/>
  <c r="AD41" i="22"/>
  <c r="G36" i="22"/>
  <c r="H36" i="22"/>
  <c r="I36" i="22"/>
  <c r="J36" i="22"/>
  <c r="K36" i="22"/>
  <c r="L36" i="22"/>
  <c r="M36" i="22"/>
  <c r="N36" i="22"/>
  <c r="O36" i="22"/>
  <c r="P36" i="22"/>
  <c r="S36" i="22"/>
  <c r="T36" i="22"/>
  <c r="U36" i="22"/>
  <c r="V36" i="22"/>
  <c r="W36" i="22"/>
  <c r="X36" i="22"/>
  <c r="Y36" i="22"/>
  <c r="Z36" i="22"/>
  <c r="AA36" i="22"/>
  <c r="AD36" i="22"/>
  <c r="AJ38" i="22"/>
  <c r="AJ42" i="22" s="1"/>
  <c r="AD38" i="22"/>
  <c r="R38" i="22"/>
  <c r="R36" i="22" s="1"/>
  <c r="F38" i="22"/>
  <c r="H29" i="22"/>
  <c r="I29" i="22"/>
  <c r="J29" i="22"/>
  <c r="K29" i="22"/>
  <c r="L29" i="22"/>
  <c r="M29" i="22"/>
  <c r="N29" i="22"/>
  <c r="O29" i="22"/>
  <c r="P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F29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J34" i="22"/>
  <c r="AJ33" i="22" s="1"/>
  <c r="AG34" i="22"/>
  <c r="AG33" i="22" s="1"/>
  <c r="F34" i="22"/>
  <c r="F33" i="22" s="1"/>
  <c r="AG30" i="22"/>
  <c r="AG29" i="22" s="1"/>
  <c r="AF30" i="22"/>
  <c r="AE30" i="22"/>
  <c r="AE29" i="22" s="1"/>
  <c r="AJ30" i="22"/>
  <c r="AJ29" i="22" s="1"/>
  <c r="AH30" i="22"/>
  <c r="AJ32" i="22"/>
  <c r="AI32" i="22"/>
  <c r="AI43" i="22" s="1"/>
  <c r="AH32" i="22"/>
  <c r="AH29" i="22" s="1"/>
  <c r="R30" i="22"/>
  <c r="F32" i="22"/>
  <c r="F29" i="22" s="1"/>
  <c r="E32" i="22"/>
  <c r="AH43" i="22" l="1"/>
  <c r="F43" i="22"/>
  <c r="L44" i="22"/>
  <c r="AG41" i="22"/>
  <c r="P44" i="22"/>
  <c r="AA44" i="22"/>
  <c r="O44" i="22"/>
  <c r="AO67" i="26"/>
  <c r="I67" i="26"/>
  <c r="AS67" i="26"/>
  <c r="AN67" i="26"/>
  <c r="AP67" i="26"/>
  <c r="AL67" i="26"/>
  <c r="AH67" i="26"/>
  <c r="Z67" i="26"/>
  <c r="V67" i="26"/>
  <c r="R67" i="26"/>
  <c r="N67" i="26"/>
  <c r="AR67" i="26"/>
  <c r="AK67" i="26"/>
  <c r="AF67" i="26"/>
  <c r="AD67" i="26"/>
  <c r="L67" i="26"/>
  <c r="R44" i="22"/>
  <c r="AG44" i="22"/>
  <c r="Y44" i="22"/>
  <c r="U44" i="22"/>
  <c r="M44" i="22"/>
  <c r="I44" i="22"/>
  <c r="AD44" i="22"/>
  <c r="V44" i="22"/>
  <c r="X44" i="22"/>
  <c r="T44" i="22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G7" i="29"/>
  <c r="AG8" i="29"/>
  <c r="AG9" i="29"/>
  <c r="AG10" i="29"/>
  <c r="AG11" i="29"/>
  <c r="AG14" i="29"/>
  <c r="E6" i="29"/>
  <c r="AG6" i="29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7" i="25"/>
  <c r="AD8" i="25"/>
  <c r="AD9" i="25"/>
  <c r="AD14" i="25" s="1"/>
  <c r="AD10" i="25"/>
  <c r="AD11" i="25"/>
  <c r="AD12" i="25"/>
  <c r="AD15" i="25"/>
  <c r="AD6" i="25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F17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I14" i="28"/>
  <c r="AI8" i="28"/>
  <c r="AI9" i="28"/>
  <c r="AI10" i="28"/>
  <c r="AI11" i="28"/>
  <c r="AI12" i="28"/>
  <c r="AI13" i="28"/>
  <c r="AI17" i="28"/>
  <c r="AI18" i="28"/>
  <c r="AI7" i="28"/>
  <c r="X8" i="24"/>
  <c r="AD8" i="24" s="1"/>
  <c r="AD9" i="24"/>
  <c r="AD10" i="24"/>
  <c r="AD11" i="24"/>
  <c r="AD12" i="24"/>
  <c r="AD13" i="24"/>
  <c r="AD14" i="24"/>
  <c r="AD15" i="24"/>
  <c r="AD16" i="24"/>
  <c r="F19" i="24"/>
  <c r="F18" i="24"/>
  <c r="F37" i="22" s="1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AJ37" i="22" s="1"/>
  <c r="Y18" i="24"/>
  <c r="Z18" i="24"/>
  <c r="AA18" i="24"/>
  <c r="AB18" i="24"/>
  <c r="AC18" i="24"/>
  <c r="AG8" i="27"/>
  <c r="AG9" i="27"/>
  <c r="AG10" i="27"/>
  <c r="AG11" i="27"/>
  <c r="AG12" i="27"/>
  <c r="AG13" i="27"/>
  <c r="AG14" i="27"/>
  <c r="AG7" i="27"/>
  <c r="L12" i="27"/>
  <c r="L14" i="27"/>
  <c r="L13" i="27"/>
  <c r="I12" i="27"/>
  <c r="I14" i="27"/>
  <c r="I13" i="27"/>
  <c r="I7" i="27"/>
  <c r="F14" i="27"/>
  <c r="E14" i="27"/>
  <c r="F12" i="27"/>
  <c r="F13" i="27"/>
  <c r="F7" i="27"/>
  <c r="AC9" i="23"/>
  <c r="AD9" i="23"/>
  <c r="AB9" i="23"/>
  <c r="L10" i="23"/>
  <c r="X11" i="23"/>
  <c r="AD11" i="23"/>
  <c r="AC10" i="23"/>
  <c r="AB10" i="23"/>
  <c r="AC7" i="23"/>
  <c r="AC6" i="23"/>
  <c r="AC11" i="23" s="1"/>
  <c r="AB7" i="23"/>
  <c r="AB8" i="23"/>
  <c r="AB6" i="23"/>
  <c r="AD10" i="23"/>
  <c r="X10" i="23"/>
  <c r="W6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X9" i="23"/>
  <c r="Y9" i="23"/>
  <c r="Z9" i="23"/>
  <c r="AA9" i="23"/>
  <c r="D9" i="23"/>
  <c r="M10" i="23"/>
  <c r="N10" i="23"/>
  <c r="O10" i="23"/>
  <c r="P10" i="23"/>
  <c r="Q10" i="23"/>
  <c r="R10" i="23"/>
  <c r="S10" i="23"/>
  <c r="T10" i="23"/>
  <c r="U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AB11" i="23"/>
  <c r="AD7" i="23"/>
  <c r="AD8" i="23"/>
  <c r="AD6" i="23"/>
  <c r="D11" i="23"/>
  <c r="D29" i="52" l="1"/>
  <c r="E19" i="52"/>
  <c r="E20" i="52"/>
  <c r="F20" i="52" s="1"/>
  <c r="E30" i="52"/>
  <c r="E29" i="52"/>
  <c r="F29" i="52" s="1"/>
  <c r="E16" i="52"/>
  <c r="E38" i="52"/>
  <c r="C19" i="52"/>
  <c r="C16" i="52"/>
  <c r="C14" i="52" s="1"/>
  <c r="E34" i="52"/>
  <c r="E40" i="52" s="1"/>
  <c r="AJ36" i="22"/>
  <c r="AJ41" i="22"/>
  <c r="AJ44" i="22" s="1"/>
  <c r="F36" i="22"/>
  <c r="F41" i="22"/>
  <c r="F44" i="22" s="1"/>
  <c r="AD13" i="25"/>
  <c r="AD18" i="24"/>
  <c r="AY24" i="26"/>
  <c r="AZ13" i="26"/>
  <c r="F42" i="26"/>
  <c r="G42" i="26"/>
  <c r="H42" i="26"/>
  <c r="I42" i="26"/>
  <c r="J42" i="26"/>
  <c r="K42" i="26"/>
  <c r="L42" i="26"/>
  <c r="M42" i="26"/>
  <c r="N42" i="26"/>
  <c r="O42" i="26"/>
  <c r="P42" i="26"/>
  <c r="Q42" i="26"/>
  <c r="R42" i="26"/>
  <c r="S42" i="26"/>
  <c r="T42" i="26"/>
  <c r="U42" i="26"/>
  <c r="V42" i="26"/>
  <c r="W42" i="26"/>
  <c r="X42" i="26"/>
  <c r="Y42" i="26"/>
  <c r="Z42" i="26"/>
  <c r="AA42" i="26"/>
  <c r="AB42" i="26"/>
  <c r="AC42" i="26"/>
  <c r="AD42" i="26"/>
  <c r="AE42" i="26"/>
  <c r="AF42" i="26"/>
  <c r="AG42" i="26"/>
  <c r="AH42" i="26"/>
  <c r="AI42" i="26"/>
  <c r="AJ42" i="26"/>
  <c r="AK42" i="26"/>
  <c r="AL42" i="26"/>
  <c r="AM42" i="26"/>
  <c r="AN42" i="26"/>
  <c r="AO42" i="26"/>
  <c r="AP42" i="26"/>
  <c r="AQ42" i="26"/>
  <c r="AR42" i="26"/>
  <c r="AS42" i="26"/>
  <c r="AV42" i="26"/>
  <c r="AY34" i="26"/>
  <c r="K14" i="26"/>
  <c r="AI24" i="26"/>
  <c r="L24" i="26"/>
  <c r="AY8" i="26"/>
  <c r="AY9" i="26"/>
  <c r="AY10" i="26"/>
  <c r="AY11" i="26"/>
  <c r="AY12" i="26"/>
  <c r="AY13" i="26"/>
  <c r="AY14" i="26"/>
  <c r="AY15" i="26"/>
  <c r="AY16" i="26"/>
  <c r="AY17" i="26"/>
  <c r="AY18" i="26"/>
  <c r="AY19" i="26"/>
  <c r="AY20" i="26"/>
  <c r="AY21" i="26"/>
  <c r="AY22" i="26"/>
  <c r="AY23" i="26"/>
  <c r="AY25" i="26"/>
  <c r="AY26" i="26"/>
  <c r="AY27" i="26"/>
  <c r="AY28" i="26"/>
  <c r="AY29" i="26"/>
  <c r="AY30" i="26"/>
  <c r="AY31" i="26"/>
  <c r="AY32" i="26"/>
  <c r="AY33" i="26"/>
  <c r="AY35" i="26"/>
  <c r="AY36" i="26"/>
  <c r="AY37" i="26"/>
  <c r="AY38" i="26"/>
  <c r="AY39" i="26"/>
  <c r="AY40" i="26"/>
  <c r="AY41" i="26"/>
  <c r="AY43" i="26"/>
  <c r="AY44" i="26"/>
  <c r="AY45" i="26"/>
  <c r="AY46" i="26"/>
  <c r="AY47" i="26"/>
  <c r="AY48" i="26"/>
  <c r="AY49" i="26"/>
  <c r="AY50" i="26"/>
  <c r="AY53" i="26"/>
  <c r="AY55" i="26"/>
  <c r="AY57" i="26"/>
  <c r="AY56" i="26" s="1"/>
  <c r="AY58" i="26"/>
  <c r="AY60" i="26"/>
  <c r="AY61" i="26"/>
  <c r="AY66" i="26" s="1"/>
  <c r="AY63" i="26"/>
  <c r="AY7" i="26"/>
  <c r="G25" i="22"/>
  <c r="I25" i="22"/>
  <c r="I39" i="22" s="1"/>
  <c r="L25" i="22"/>
  <c r="L39" i="22" s="1"/>
  <c r="M25" i="22"/>
  <c r="M39" i="22" s="1"/>
  <c r="O25" i="22"/>
  <c r="O39" i="22" s="1"/>
  <c r="P25" i="22"/>
  <c r="P39" i="22" s="1"/>
  <c r="R25" i="22"/>
  <c r="R39" i="22" s="1"/>
  <c r="S25" i="22"/>
  <c r="S39" i="22" s="1"/>
  <c r="T25" i="22"/>
  <c r="T39" i="22" s="1"/>
  <c r="U25" i="22"/>
  <c r="U39" i="22" s="1"/>
  <c r="V25" i="22"/>
  <c r="V39" i="22" s="1"/>
  <c r="X25" i="22"/>
  <c r="X39" i="22" s="1"/>
  <c r="Y25" i="22"/>
  <c r="Y39" i="22" s="1"/>
  <c r="AA25" i="22"/>
  <c r="AA39" i="22" s="1"/>
  <c r="AB25" i="22"/>
  <c r="AC25" i="22"/>
  <c r="AD25" i="22"/>
  <c r="AD39" i="22" s="1"/>
  <c r="AE25" i="22"/>
  <c r="AG25" i="22"/>
  <c r="AG39" i="22" s="1"/>
  <c r="AH25" i="22"/>
  <c r="AI25" i="22"/>
  <c r="AJ25" i="22"/>
  <c r="F25" i="22"/>
  <c r="AM23" i="22"/>
  <c r="AM24" i="22"/>
  <c r="AM27" i="22"/>
  <c r="AM8" i="22"/>
  <c r="AM9" i="22"/>
  <c r="AM10" i="22"/>
  <c r="AM11" i="22"/>
  <c r="AM12" i="22"/>
  <c r="AM13" i="22"/>
  <c r="AM14" i="22"/>
  <c r="AM15" i="22"/>
  <c r="AM16" i="22"/>
  <c r="AM17" i="22"/>
  <c r="AM18" i="22"/>
  <c r="AM19" i="22"/>
  <c r="AM20" i="22"/>
  <c r="AM21" i="22"/>
  <c r="AM22" i="22"/>
  <c r="AM30" i="22"/>
  <c r="AM29" i="22" s="1"/>
  <c r="AM31" i="22"/>
  <c r="AM32" i="22"/>
  <c r="AM43" i="22" s="1"/>
  <c r="AM34" i="22"/>
  <c r="AM35" i="22"/>
  <c r="AM37" i="22"/>
  <c r="AM38" i="22"/>
  <c r="AM40" i="22"/>
  <c r="AM7" i="22"/>
  <c r="AM26" i="22" s="1"/>
  <c r="AM33" i="22" l="1"/>
  <c r="F39" i="22"/>
  <c r="E14" i="52"/>
  <c r="E18" i="52"/>
  <c r="AM28" i="22"/>
  <c r="C20" i="52"/>
  <c r="C18" i="52" s="1"/>
  <c r="E28" i="52"/>
  <c r="AY64" i="26"/>
  <c r="AY67" i="26" s="1"/>
  <c r="AY59" i="26"/>
  <c r="AY62" i="26" s="1"/>
  <c r="AJ39" i="22"/>
  <c r="AM25" i="22"/>
  <c r="AM42" i="22"/>
  <c r="AM36" i="22"/>
  <c r="AM41" i="22"/>
  <c r="AY42" i="26"/>
  <c r="AE8" i="27"/>
  <c r="AM39" i="22" l="1"/>
  <c r="E32" i="52"/>
  <c r="AM44" i="22"/>
  <c r="AL10" i="26"/>
  <c r="E41" i="52" l="1"/>
  <c r="D16" i="38"/>
  <c r="D32" i="38"/>
  <c r="D30" i="38"/>
  <c r="D29" i="38"/>
  <c r="D28" i="38"/>
  <c r="D12" i="38"/>
  <c r="D18" i="38"/>
  <c r="D17" i="38"/>
  <c r="D15" i="38"/>
  <c r="D14" i="38"/>
  <c r="D13" i="38"/>
  <c r="D11" i="38"/>
  <c r="D10" i="38"/>
  <c r="AF16" i="26"/>
  <c r="AF20" i="26"/>
  <c r="AF29" i="26"/>
  <c r="AF24" i="26"/>
  <c r="AF22" i="26"/>
  <c r="AF21" i="26"/>
  <c r="AC34" i="26"/>
  <c r="AC24" i="26"/>
  <c r="AC20" i="26"/>
  <c r="AC7" i="26"/>
  <c r="W24" i="26"/>
  <c r="T10" i="26"/>
  <c r="Q30" i="26"/>
  <c r="Q28" i="26"/>
  <c r="Q12" i="26"/>
  <c r="N37" i="26"/>
  <c r="K36" i="26"/>
  <c r="K33" i="26"/>
  <c r="K29" i="26"/>
  <c r="K27" i="26"/>
  <c r="K22" i="26"/>
  <c r="K23" i="26"/>
  <c r="K24" i="26"/>
  <c r="K25" i="26"/>
  <c r="K21" i="26"/>
  <c r="K15" i="26"/>
  <c r="K16" i="26"/>
  <c r="K17" i="26"/>
  <c r="K8" i="26"/>
  <c r="K9" i="26"/>
  <c r="K7" i="26"/>
  <c r="H27" i="26"/>
  <c r="H26" i="26"/>
  <c r="H24" i="26"/>
  <c r="H16" i="26"/>
  <c r="H14" i="26"/>
  <c r="H7" i="26"/>
  <c r="E27" i="26"/>
  <c r="E26" i="26"/>
  <c r="E24" i="26"/>
  <c r="E16" i="26"/>
  <c r="E14" i="26"/>
  <c r="E7" i="26"/>
  <c r="AC8" i="26"/>
  <c r="K10" i="26"/>
  <c r="AC16" i="26"/>
  <c r="N23" i="22"/>
  <c r="AL20" i="22"/>
  <c r="AF22" i="22"/>
  <c r="Z16" i="22"/>
  <c r="W16" i="22"/>
  <c r="W12" i="22"/>
  <c r="W7" i="22"/>
  <c r="Q12" i="22"/>
  <c r="Q13" i="22"/>
  <c r="Q14" i="22"/>
  <c r="Q15" i="22"/>
  <c r="Q16" i="22"/>
  <c r="Q17" i="22"/>
  <c r="Q18" i="22"/>
  <c r="AL18" i="22" s="1"/>
  <c r="Q19" i="22"/>
  <c r="Q11" i="22"/>
  <c r="H21" i="22"/>
  <c r="E8" i="22"/>
  <c r="E9" i="22"/>
  <c r="E10" i="22"/>
  <c r="AL10" i="22" s="1"/>
  <c r="E11" i="22"/>
  <c r="AL11" i="22" s="1"/>
  <c r="E12" i="22"/>
  <c r="AL12" i="22" s="1"/>
  <c r="E13" i="22"/>
  <c r="E14" i="22"/>
  <c r="AL14" i="22" s="1"/>
  <c r="E15" i="22"/>
  <c r="E16" i="22"/>
  <c r="AL16" i="22" s="1"/>
  <c r="E19" i="22"/>
  <c r="AL19" i="22" s="1"/>
  <c r="E20" i="22"/>
  <c r="E7" i="22"/>
  <c r="H26" i="22" l="1"/>
  <c r="H41" i="22" s="1"/>
  <c r="H44" i="22" s="1"/>
  <c r="H25" i="22"/>
  <c r="H39" i="22" s="1"/>
  <c r="AL17" i="22"/>
  <c r="Q26" i="22"/>
  <c r="Z26" i="22"/>
  <c r="Z41" i="22" s="1"/>
  <c r="Z44" i="22" s="1"/>
  <c r="Z25" i="22"/>
  <c r="Z39" i="22" s="1"/>
  <c r="AL13" i="22"/>
  <c r="W26" i="22"/>
  <c r="W41" i="22" s="1"/>
  <c r="W44" i="22" s="1"/>
  <c r="W25" i="22"/>
  <c r="W39" i="22" s="1"/>
  <c r="AL22" i="22"/>
  <c r="AF26" i="22"/>
  <c r="AF25" i="22"/>
  <c r="AL21" i="22"/>
  <c r="N26" i="22"/>
  <c r="N41" i="22" s="1"/>
  <c r="N44" i="22" s="1"/>
  <c r="N25" i="22"/>
  <c r="N39" i="22" s="1"/>
  <c r="AR24" i="26"/>
  <c r="J23" i="22"/>
  <c r="AL15" i="22"/>
  <c r="Q9" i="22"/>
  <c r="Q28" i="22" l="1"/>
  <c r="D19" i="52"/>
  <c r="K23" i="22"/>
  <c r="J26" i="22"/>
  <c r="J41" i="22" s="1"/>
  <c r="J44" i="22" s="1"/>
  <c r="J25" i="22"/>
  <c r="J39" i="22" s="1"/>
  <c r="D38" i="52"/>
  <c r="F38" i="52" s="1"/>
  <c r="AB55" i="26"/>
  <c r="K54" i="26"/>
  <c r="H54" i="26"/>
  <c r="E54" i="26"/>
  <c r="H9" i="28"/>
  <c r="AH9" i="28" s="1"/>
  <c r="H11" i="28"/>
  <c r="AH11" i="28" s="1"/>
  <c r="H10" i="28"/>
  <c r="AH10" i="28" s="1"/>
  <c r="H8" i="28"/>
  <c r="AH8" i="28" s="1"/>
  <c r="H7" i="28"/>
  <c r="AH7" i="28" s="1"/>
  <c r="K8" i="28"/>
  <c r="K7" i="28"/>
  <c r="AH12" i="28"/>
  <c r="AH13" i="28"/>
  <c r="W8" i="28"/>
  <c r="W7" i="28"/>
  <c r="T8" i="28"/>
  <c r="T9" i="28"/>
  <c r="T10" i="28"/>
  <c r="T11" i="28"/>
  <c r="T12" i="28"/>
  <c r="T13" i="28"/>
  <c r="T7" i="28"/>
  <c r="K13" i="28"/>
  <c r="K12" i="28"/>
  <c r="K11" i="28"/>
  <c r="K10" i="28"/>
  <c r="K9" i="28"/>
  <c r="H13" i="28"/>
  <c r="E13" i="28"/>
  <c r="E11" i="28"/>
  <c r="E10" i="28"/>
  <c r="H12" i="28"/>
  <c r="E12" i="28"/>
  <c r="E9" i="28"/>
  <c r="E8" i="28"/>
  <c r="E7" i="28"/>
  <c r="AC16" i="24"/>
  <c r="W9" i="24"/>
  <c r="AC9" i="24" s="1"/>
  <c r="W8" i="24"/>
  <c r="Z9" i="24"/>
  <c r="Q10" i="24"/>
  <c r="E15" i="24"/>
  <c r="AC15" i="24" s="1"/>
  <c r="E14" i="24"/>
  <c r="AC14" i="24" s="1"/>
  <c r="E13" i="24"/>
  <c r="AC13" i="24" s="1"/>
  <c r="E12" i="24"/>
  <c r="AC12" i="24" s="1"/>
  <c r="E11" i="24"/>
  <c r="AC11" i="24" s="1"/>
  <c r="E10" i="24"/>
  <c r="AC10" i="24" s="1"/>
  <c r="D18" i="52" l="1"/>
  <c r="F18" i="52" s="1"/>
  <c r="F19" i="52"/>
  <c r="AL23" i="22"/>
  <c r="K26" i="22"/>
  <c r="K41" i="22" s="1"/>
  <c r="K44" i="22" s="1"/>
  <c r="K25" i="22"/>
  <c r="K39" i="22" s="1"/>
  <c r="AR54" i="26"/>
  <c r="T10" i="29"/>
  <c r="K11" i="29"/>
  <c r="K10" i="29"/>
  <c r="K9" i="29"/>
  <c r="K8" i="29"/>
  <c r="K7" i="29"/>
  <c r="H10" i="29"/>
  <c r="E10" i="29"/>
  <c r="H6" i="29"/>
  <c r="T8" i="29"/>
  <c r="E9" i="25"/>
  <c r="Z6" i="25"/>
  <c r="W6" i="25"/>
  <c r="G14" i="27"/>
  <c r="H14" i="27"/>
  <c r="J14" i="27"/>
  <c r="K14" i="27"/>
  <c r="M14" i="27"/>
  <c r="N14" i="27"/>
  <c r="P14" i="27"/>
  <c r="Q14" i="27"/>
  <c r="S14" i="27"/>
  <c r="T14" i="27"/>
  <c r="V14" i="27"/>
  <c r="W14" i="27"/>
  <c r="Y14" i="27"/>
  <c r="Z14" i="27"/>
  <c r="AB14" i="27"/>
  <c r="AC14" i="27"/>
  <c r="AE14" i="27"/>
  <c r="E13" i="27"/>
  <c r="G13" i="27"/>
  <c r="H13" i="27"/>
  <c r="J13" i="27"/>
  <c r="K13" i="27"/>
  <c r="M13" i="27"/>
  <c r="N13" i="27"/>
  <c r="P13" i="27"/>
  <c r="Q13" i="27"/>
  <c r="S13" i="27"/>
  <c r="T13" i="27"/>
  <c r="V13" i="27"/>
  <c r="W13" i="27"/>
  <c r="Y13" i="27"/>
  <c r="Z13" i="27"/>
  <c r="AB13" i="27"/>
  <c r="AC13" i="27"/>
  <c r="AE13" i="27"/>
  <c r="D14" i="27"/>
  <c r="D13" i="27"/>
  <c r="AF8" i="27"/>
  <c r="AF13" i="27" s="1"/>
  <c r="AF9" i="27"/>
  <c r="AF14" i="27" s="1"/>
  <c r="AF10" i="27"/>
  <c r="AF12" i="27"/>
  <c r="AF7" i="27"/>
  <c r="T7" i="27"/>
  <c r="K8" i="27"/>
  <c r="K7" i="27"/>
  <c r="H8" i="27"/>
  <c r="H7" i="27"/>
  <c r="E8" i="27"/>
  <c r="E7" i="27"/>
  <c r="K9" i="27"/>
  <c r="H9" i="27"/>
  <c r="E9" i="27"/>
  <c r="E43" i="22"/>
  <c r="W9" i="23" l="1"/>
  <c r="G55" i="26" l="1"/>
  <c r="E26" i="22"/>
  <c r="D28" i="22"/>
  <c r="D26" i="22"/>
  <c r="E65" i="26" l="1"/>
  <c r="S13" i="26"/>
  <c r="T13" i="26" s="1"/>
  <c r="C17" i="40"/>
  <c r="C16" i="40"/>
  <c r="C15" i="40"/>
  <c r="C14" i="40"/>
  <c r="C27" i="40" s="1"/>
  <c r="C26" i="38" l="1"/>
  <c r="D26" i="38" s="1"/>
  <c r="D35" i="38" s="1"/>
  <c r="C27" i="38"/>
  <c r="D27" i="38" s="1"/>
  <c r="AE61" i="26"/>
  <c r="C35" i="38" l="1"/>
  <c r="AQ24" i="26"/>
  <c r="C11" i="39" l="1"/>
  <c r="D42" i="26"/>
  <c r="AK8" i="22" l="1"/>
  <c r="AK9" i="22"/>
  <c r="AK10" i="22"/>
  <c r="AK11" i="22"/>
  <c r="AK12" i="22"/>
  <c r="AK13" i="22"/>
  <c r="AK14" i="22"/>
  <c r="AK15" i="22"/>
  <c r="AK16" i="22"/>
  <c r="AK17" i="22"/>
  <c r="AK18" i="22"/>
  <c r="AK19" i="22"/>
  <c r="AK20" i="22"/>
  <c r="AK21" i="22"/>
  <c r="AK22" i="22"/>
  <c r="AK24" i="22"/>
  <c r="E25" i="22"/>
  <c r="D25" i="22"/>
  <c r="AK28" i="22" l="1"/>
  <c r="AK23" i="22"/>
  <c r="D17" i="24"/>
  <c r="AB9" i="24"/>
  <c r="AB10" i="24"/>
  <c r="AB11" i="24"/>
  <c r="AB12" i="24"/>
  <c r="AB13" i="24"/>
  <c r="AB14" i="24"/>
  <c r="AB15" i="24"/>
  <c r="AB16" i="24"/>
  <c r="AB8" i="24"/>
  <c r="AE8" i="28"/>
  <c r="AE9" i="28"/>
  <c r="AE10" i="28"/>
  <c r="AE11" i="28"/>
  <c r="AE12" i="28"/>
  <c r="AE13" i="28"/>
  <c r="AL8" i="22" l="1"/>
  <c r="AL9" i="22"/>
  <c r="AL7" i="22"/>
  <c r="E28" i="22"/>
  <c r="AL28" i="22" l="1"/>
  <c r="AL26" i="22"/>
  <c r="E52" i="26"/>
  <c r="E51" i="26"/>
  <c r="D51" i="26"/>
  <c r="D52" i="26"/>
  <c r="AX54" i="26" l="1"/>
  <c r="Q38" i="22" l="1"/>
  <c r="D43" i="22"/>
  <c r="AB7" i="25"/>
  <c r="AB9" i="25"/>
  <c r="AB11" i="25"/>
  <c r="AB12" i="25"/>
  <c r="AC7" i="25"/>
  <c r="AC9" i="25"/>
  <c r="AC11" i="25"/>
  <c r="AC12" i="25"/>
  <c r="AF34" i="22"/>
  <c r="AF33" i="22" s="1"/>
  <c r="E14" i="25"/>
  <c r="E34" i="22" s="1"/>
  <c r="AE34" i="22"/>
  <c r="AE33" i="22" s="1"/>
  <c r="D14" i="25"/>
  <c r="D34" i="22" s="1"/>
  <c r="H10" i="51"/>
  <c r="H11" i="51"/>
  <c r="H12" i="51"/>
  <c r="H13" i="51"/>
  <c r="C14" i="51"/>
  <c r="D14" i="51"/>
  <c r="E14" i="51"/>
  <c r="F14" i="51"/>
  <c r="G14" i="51"/>
  <c r="Q36" i="22" l="1"/>
  <c r="Q42" i="22"/>
  <c r="H14" i="51"/>
  <c r="C29" i="40"/>
  <c r="C33" i="40" s="1"/>
  <c r="C36" i="40" s="1"/>
  <c r="D27" i="40"/>
  <c r="D12" i="40"/>
  <c r="C12" i="40"/>
  <c r="D33" i="40" l="1"/>
  <c r="D36" i="40" s="1"/>
  <c r="AC61" i="26" l="1"/>
  <c r="AF61" i="26"/>
  <c r="C19" i="38"/>
  <c r="AE8" i="29"/>
  <c r="AE6" i="29"/>
  <c r="N57" i="26"/>
  <c r="AF8" i="29"/>
  <c r="K6" i="29"/>
  <c r="AR58" i="26"/>
  <c r="AX58" i="26" s="1"/>
  <c r="AC57" i="26" l="1"/>
  <c r="AF6" i="29"/>
  <c r="AQ7" i="26"/>
  <c r="AR11" i="26"/>
  <c r="AR12" i="26"/>
  <c r="AR13" i="26"/>
  <c r="AX13" i="26" s="1"/>
  <c r="AR32" i="26"/>
  <c r="AX32" i="26" s="1"/>
  <c r="AR35" i="26"/>
  <c r="AX35" i="26" s="1"/>
  <c r="AR37" i="26"/>
  <c r="AX37" i="26" s="1"/>
  <c r="AR38" i="26"/>
  <c r="AX38" i="26" s="1"/>
  <c r="AR40" i="26"/>
  <c r="AX40" i="26" s="1"/>
  <c r="AR41" i="26"/>
  <c r="AX41" i="26" s="1"/>
  <c r="AQ11" i="26"/>
  <c r="AQ12" i="26"/>
  <c r="AQ13" i="26"/>
  <c r="AW13" i="26" s="1"/>
  <c r="AQ14" i="26"/>
  <c r="AW14" i="26" s="1"/>
  <c r="AQ18" i="26"/>
  <c r="AW18" i="26" s="1"/>
  <c r="AQ19" i="26"/>
  <c r="AW19" i="26" s="1"/>
  <c r="AQ21" i="26"/>
  <c r="AW21" i="26" s="1"/>
  <c r="AQ25" i="26"/>
  <c r="AW25" i="26" s="1"/>
  <c r="AQ26" i="26"/>
  <c r="AW26" i="26" s="1"/>
  <c r="AQ28" i="26"/>
  <c r="AW28" i="26" s="1"/>
  <c r="AQ29" i="26"/>
  <c r="AW29" i="26" s="1"/>
  <c r="AQ30" i="26"/>
  <c r="AW30" i="26" s="1"/>
  <c r="AQ31" i="26"/>
  <c r="AW31" i="26" s="1"/>
  <c r="AQ32" i="26"/>
  <c r="AW32" i="26" s="1"/>
  <c r="AQ33" i="26"/>
  <c r="AW33" i="26" s="1"/>
  <c r="AQ34" i="26"/>
  <c r="AW34" i="26" s="1"/>
  <c r="AQ35" i="26"/>
  <c r="AW35" i="26" s="1"/>
  <c r="AQ36" i="26"/>
  <c r="AW36" i="26" s="1"/>
  <c r="AQ37" i="26"/>
  <c r="AW37" i="26" s="1"/>
  <c r="AQ38" i="26"/>
  <c r="AW38" i="26" s="1"/>
  <c r="AQ39" i="26"/>
  <c r="AW39" i="26" s="1"/>
  <c r="AQ40" i="26"/>
  <c r="AW40" i="26" s="1"/>
  <c r="AQ41" i="26"/>
  <c r="AW41" i="26" s="1"/>
  <c r="AR36" i="26"/>
  <c r="AX36" i="26" s="1"/>
  <c r="AR33" i="26"/>
  <c r="AX33" i="26" s="1"/>
  <c r="AR28" i="26"/>
  <c r="AX28" i="26" s="1"/>
  <c r="AR25" i="26"/>
  <c r="AX25" i="26" s="1"/>
  <c r="AR19" i="26"/>
  <c r="AX19" i="26" s="1"/>
  <c r="AR18" i="26"/>
  <c r="AX18" i="26" s="1"/>
  <c r="AR30" i="26"/>
  <c r="AX30" i="26" s="1"/>
  <c r="AR21" i="26"/>
  <c r="AX21" i="26" s="1"/>
  <c r="AR14" i="26"/>
  <c r="AX14" i="26" s="1"/>
  <c r="AR7" i="26" l="1"/>
  <c r="AX7" i="26" s="1"/>
  <c r="AR31" i="26"/>
  <c r="AX31" i="26" s="1"/>
  <c r="AR34" i="26"/>
  <c r="AX34" i="26" s="1"/>
  <c r="AR26" i="26"/>
  <c r="AX26" i="26" s="1"/>
  <c r="AR39" i="26"/>
  <c r="AX39" i="26" s="1"/>
  <c r="AR10" i="26"/>
  <c r="AX10" i="26" s="1"/>
  <c r="AW12" i="26"/>
  <c r="AX12" i="26"/>
  <c r="AR29" i="26"/>
  <c r="AX29" i="26" s="1"/>
  <c r="Q24" i="22"/>
  <c r="Q25" i="22" s="1"/>
  <c r="AC60" i="26"/>
  <c r="D16" i="28"/>
  <c r="D15" i="28"/>
  <c r="D14" i="28"/>
  <c r="G12" i="27"/>
  <c r="J12" i="27"/>
  <c r="M12" i="27"/>
  <c r="N12" i="27"/>
  <c r="P12" i="27"/>
  <c r="Q12" i="27"/>
  <c r="S12" i="27"/>
  <c r="C20" i="38" s="1"/>
  <c r="D20" i="38" s="1"/>
  <c r="T12" i="27"/>
  <c r="V12" i="27"/>
  <c r="W12" i="27"/>
  <c r="Y12" i="27"/>
  <c r="Z12" i="27"/>
  <c r="AB12" i="27"/>
  <c r="AC12" i="27"/>
  <c r="D12" i="27"/>
  <c r="H12" i="27"/>
  <c r="AE7" i="27"/>
  <c r="E8" i="23"/>
  <c r="G17" i="24"/>
  <c r="H17" i="24"/>
  <c r="J17" i="24"/>
  <c r="K17" i="24"/>
  <c r="AB38" i="22"/>
  <c r="C12" i="39"/>
  <c r="AE38" i="22"/>
  <c r="AE42" i="22" s="1"/>
  <c r="AI38" i="22"/>
  <c r="AI42" i="22" s="1"/>
  <c r="AC38" i="22"/>
  <c r="AF38" i="22"/>
  <c r="AF42" i="22" s="1"/>
  <c r="E18" i="24"/>
  <c r="AH37" i="22"/>
  <c r="AE37" i="22"/>
  <c r="D18" i="24"/>
  <c r="AC36" i="22" l="1"/>
  <c r="AC39" i="22" s="1"/>
  <c r="AC42" i="22"/>
  <c r="AC44" i="22" s="1"/>
  <c r="AB36" i="22"/>
  <c r="AB39" i="22" s="1"/>
  <c r="AB42" i="22"/>
  <c r="AB44" i="22" s="1"/>
  <c r="AE36" i="22"/>
  <c r="AE39" i="22" s="1"/>
  <c r="AE41" i="22"/>
  <c r="AE44" i="22" s="1"/>
  <c r="C23" i="38"/>
  <c r="C38" i="38" s="1"/>
  <c r="D23" i="38"/>
  <c r="E37" i="22"/>
  <c r="AL24" i="22"/>
  <c r="AL25" i="22" s="1"/>
  <c r="AH38" i="22"/>
  <c r="AH42" i="22" s="1"/>
  <c r="D37" i="22"/>
  <c r="K55" i="26"/>
  <c r="AC55" i="26"/>
  <c r="E15" i="28"/>
  <c r="E60" i="26" s="1"/>
  <c r="AF37" i="22"/>
  <c r="AC8" i="24"/>
  <c r="E14" i="28"/>
  <c r="E16" i="28"/>
  <c r="E61" i="26" s="1"/>
  <c r="K12" i="27"/>
  <c r="E12" i="27"/>
  <c r="C30" i="52" l="1"/>
  <c r="D30" i="52"/>
  <c r="F30" i="52" s="1"/>
  <c r="AH36" i="22"/>
  <c r="C34" i="52"/>
  <c r="C40" i="52" s="1"/>
  <c r="AF36" i="22"/>
  <c r="AF39" i="22" s="1"/>
  <c r="AF41" i="22"/>
  <c r="AF44" i="22" s="1"/>
  <c r="D38" i="38"/>
  <c r="H60" i="26"/>
  <c r="H61" i="26"/>
  <c r="AK37" i="22"/>
  <c r="H55" i="26"/>
  <c r="E55" i="26"/>
  <c r="AI37" i="22"/>
  <c r="AK7" i="22"/>
  <c r="AK26" i="22" l="1"/>
  <c r="AK25" i="22"/>
  <c r="D34" i="52"/>
  <c r="AI36" i="22"/>
  <c r="AR55" i="26"/>
  <c r="D13" i="25"/>
  <c r="E13" i="25"/>
  <c r="D40" i="52" l="1"/>
  <c r="F40" i="52" s="1"/>
  <c r="F34" i="52"/>
  <c r="AX55" i="26"/>
  <c r="AH34" i="22"/>
  <c r="AB6" i="25"/>
  <c r="AH33" i="22" l="1"/>
  <c r="AH39" i="22" s="1"/>
  <c r="AH41" i="22"/>
  <c r="AH44" i="22" s="1"/>
  <c r="AT11" i="26" s="1"/>
  <c r="AT51" i="26" s="1"/>
  <c r="AC6" i="25"/>
  <c r="D13" i="29"/>
  <c r="D12" i="29"/>
  <c r="AE10" i="29"/>
  <c r="AK34" i="22"/>
  <c r="AU11" i="26" l="1"/>
  <c r="AT42" i="26"/>
  <c r="AT62" i="26" s="1"/>
  <c r="AT64" i="26"/>
  <c r="AT67" i="26" s="1"/>
  <c r="AW11" i="26"/>
  <c r="AF10" i="29"/>
  <c r="E13" i="29"/>
  <c r="E12" i="29"/>
  <c r="AI34" i="22"/>
  <c r="AI33" i="22" s="1"/>
  <c r="AU57" i="26"/>
  <c r="AW42" i="26" l="1"/>
  <c r="AW62" i="26" s="1"/>
  <c r="AW51" i="26"/>
  <c r="AU42" i="26"/>
  <c r="AU51" i="26"/>
  <c r="AX11" i="26"/>
  <c r="D19" i="24"/>
  <c r="AQ10" i="26"/>
  <c r="AW10" i="26" s="1"/>
  <c r="AX42" i="26" l="1"/>
  <c r="AX62" i="26" s="1"/>
  <c r="AX51" i="26"/>
  <c r="D38" i="22"/>
  <c r="E19" i="24"/>
  <c r="E17" i="24"/>
  <c r="AR9" i="26"/>
  <c r="AQ8" i="26"/>
  <c r="AR23" i="26"/>
  <c r="AQ23" i="26"/>
  <c r="AW23" i="26" s="1"/>
  <c r="AQ9" i="26"/>
  <c r="AQ16" i="26"/>
  <c r="AW16" i="26" s="1"/>
  <c r="AQ22" i="26"/>
  <c r="AW22" i="26" s="1"/>
  <c r="AR22" i="26"/>
  <c r="AX22" i="26" s="1"/>
  <c r="AQ27" i="26"/>
  <c r="AW27" i="26" s="1"/>
  <c r="AR17" i="26"/>
  <c r="AX17" i="26" s="1"/>
  <c r="AQ17" i="26"/>
  <c r="AW17" i="26" s="1"/>
  <c r="AW24" i="26"/>
  <c r="AQ15" i="26"/>
  <c r="AQ20" i="26"/>
  <c r="AW20" i="26" s="1"/>
  <c r="AE10" i="27"/>
  <c r="D36" i="22" l="1"/>
  <c r="AK38" i="22"/>
  <c r="AK36" i="22" s="1"/>
  <c r="AX23" i="26"/>
  <c r="E42" i="26"/>
  <c r="AR15" i="26"/>
  <c r="AE12" i="27"/>
  <c r="AW15" i="26"/>
  <c r="AR8" i="26"/>
  <c r="E38" i="22"/>
  <c r="AX9" i="26"/>
  <c r="AR16" i="26"/>
  <c r="AX16" i="26" s="1"/>
  <c r="AR20" i="26"/>
  <c r="AX20" i="26" s="1"/>
  <c r="AR27" i="26"/>
  <c r="AX27" i="26" s="1"/>
  <c r="E36" i="22" l="1"/>
  <c r="AL38" i="22"/>
  <c r="AX24" i="26"/>
  <c r="AX15" i="26"/>
  <c r="AE7" i="29"/>
  <c r="AF9" i="29"/>
  <c r="AE9" i="29"/>
  <c r="AE11" i="29"/>
  <c r="AF11" i="29"/>
  <c r="AX8" i="26"/>
  <c r="AX64" i="26" l="1"/>
  <c r="AX67" i="26" s="1"/>
  <c r="AF7" i="29"/>
  <c r="AW8" i="26"/>
  <c r="AW9" i="26"/>
  <c r="K61" i="26" l="1"/>
  <c r="AR61" i="26" s="1"/>
  <c r="AQ58" i="26"/>
  <c r="J54" i="26"/>
  <c r="G54" i="26"/>
  <c r="D54" i="26"/>
  <c r="J55" i="26"/>
  <c r="D55" i="26"/>
  <c r="AQ55" i="26" s="1"/>
  <c r="AW58" i="26" l="1"/>
  <c r="D65" i="26"/>
  <c r="AQ54" i="26"/>
  <c r="AX61" i="26"/>
  <c r="K60" i="26"/>
  <c r="D53" i="26"/>
  <c r="D49" i="26"/>
  <c r="AR60" i="26" l="1"/>
  <c r="AW55" i="26"/>
  <c r="AX60" i="26" l="1"/>
  <c r="AC8" i="23" l="1"/>
  <c r="E15" i="25" l="1"/>
  <c r="G15" i="25"/>
  <c r="H15" i="25"/>
  <c r="J15" i="25"/>
  <c r="K15" i="25"/>
  <c r="M15" i="25"/>
  <c r="N15" i="25"/>
  <c r="P15" i="25"/>
  <c r="Q15" i="25"/>
  <c r="S15" i="25"/>
  <c r="T15" i="25"/>
  <c r="V15" i="25"/>
  <c r="W15" i="25"/>
  <c r="D15" i="25"/>
  <c r="AE14" i="29"/>
  <c r="AF14" i="29"/>
  <c r="E14" i="29"/>
  <c r="G14" i="29"/>
  <c r="H14" i="29"/>
  <c r="J14" i="29"/>
  <c r="K14" i="29"/>
  <c r="M14" i="29"/>
  <c r="N14" i="29"/>
  <c r="P14" i="29"/>
  <c r="Q14" i="29"/>
  <c r="S14" i="29"/>
  <c r="T14" i="29"/>
  <c r="V14" i="29"/>
  <c r="W14" i="29"/>
  <c r="Y14" i="29"/>
  <c r="Z14" i="29"/>
  <c r="AB14" i="29"/>
  <c r="AC14" i="29"/>
  <c r="D14" i="29"/>
  <c r="E57" i="26"/>
  <c r="G57" i="26"/>
  <c r="H57" i="26"/>
  <c r="J57" i="26"/>
  <c r="K57" i="26"/>
  <c r="AB57" i="26"/>
  <c r="D57" i="26"/>
  <c r="E64" i="26" l="1"/>
  <c r="AR57" i="26"/>
  <c r="AB15" i="25"/>
  <c r="D35" i="22"/>
  <c r="D42" i="22" s="1"/>
  <c r="E35" i="22"/>
  <c r="E42" i="22" s="1"/>
  <c r="AC15" i="25"/>
  <c r="AQ57" i="26"/>
  <c r="AW57" i="26" l="1"/>
  <c r="AX57" i="26"/>
  <c r="E33" i="22"/>
  <c r="D33" i="22"/>
  <c r="AW7" i="26"/>
  <c r="AW64" i="26" s="1"/>
  <c r="AW67" i="26" s="1"/>
  <c r="AL27" i="22"/>
  <c r="E49" i="26" l="1"/>
  <c r="AL35" i="22" l="1"/>
  <c r="AL34" i="22"/>
  <c r="AL33" i="22" s="1"/>
  <c r="AL32" i="22"/>
  <c r="AL43" i="22" s="1"/>
  <c r="AK27" i="22"/>
  <c r="AK31" i="22" l="1"/>
  <c r="AK35" i="22" l="1"/>
  <c r="AK33" i="22" s="1"/>
  <c r="AK42" i="22" l="1"/>
  <c r="E66" i="26"/>
  <c r="E56" i="26"/>
  <c r="D10" i="39"/>
  <c r="E59" i="26" l="1"/>
  <c r="AU60" i="26" l="1"/>
  <c r="AU61" i="26"/>
  <c r="AU64" i="26" l="1"/>
  <c r="AU67" i="26" s="1"/>
  <c r="AU59" i="26"/>
  <c r="AU62" i="26" s="1"/>
  <c r="AL37" i="22"/>
  <c r="E53" i="26"/>
  <c r="E62" i="26" s="1"/>
  <c r="AI30" i="22"/>
  <c r="K10" i="23"/>
  <c r="Q30" i="22" s="1"/>
  <c r="H10" i="23"/>
  <c r="E10" i="23"/>
  <c r="E30" i="22" s="1"/>
  <c r="E41" i="22" s="1"/>
  <c r="Q29" i="22" l="1"/>
  <c r="Q39" i="22" s="1"/>
  <c r="Q41" i="22"/>
  <c r="Q44" i="22" s="1"/>
  <c r="AI29" i="22"/>
  <c r="AI39" i="22" s="1"/>
  <c r="AI41" i="22"/>
  <c r="AI44" i="22" s="1"/>
  <c r="AL36" i="22"/>
  <c r="E44" i="22"/>
  <c r="D12" i="39"/>
  <c r="E29" i="22"/>
  <c r="E39" i="22" s="1"/>
  <c r="AL30" i="22"/>
  <c r="AL29" i="22" s="1"/>
  <c r="AL31" i="22"/>
  <c r="AL42" i="22" s="1"/>
  <c r="D16" i="52" l="1"/>
  <c r="AL41" i="22"/>
  <c r="AL44" i="22" s="1"/>
  <c r="AL39" i="22"/>
  <c r="D28" i="52"/>
  <c r="E67" i="26"/>
  <c r="D14" i="52" l="1"/>
  <c r="F14" i="52" s="1"/>
  <c r="F16" i="52"/>
  <c r="F28" i="52"/>
  <c r="D11" i="39"/>
  <c r="D13" i="39" s="1"/>
  <c r="D32" i="52" l="1"/>
  <c r="D41" i="52" s="1"/>
  <c r="F41" i="52" s="1"/>
  <c r="D32" i="22"/>
  <c r="F32" i="52" l="1"/>
  <c r="AK32" i="22"/>
  <c r="AK43" i="22" s="1"/>
  <c r="AB61" i="26" l="1"/>
  <c r="G61" i="26"/>
  <c r="D61" i="26"/>
  <c r="D66" i="26" s="1"/>
  <c r="AB60" i="26"/>
  <c r="J60" i="26"/>
  <c r="G60" i="26"/>
  <c r="D60" i="26"/>
  <c r="D64" i="26" s="1"/>
  <c r="AG7" i="28"/>
  <c r="AE7" i="28"/>
  <c r="D56" i="26"/>
  <c r="J10" i="23"/>
  <c r="G10" i="23"/>
  <c r="G30" i="22" s="1"/>
  <c r="D10" i="23"/>
  <c r="D30" i="22" s="1"/>
  <c r="D41" i="22" s="1"/>
  <c r="G41" i="22" l="1"/>
  <c r="G44" i="22" s="1"/>
  <c r="G29" i="22"/>
  <c r="G39" i="22" s="1"/>
  <c r="AK30" i="22"/>
  <c r="D44" i="22"/>
  <c r="D29" i="22"/>
  <c r="D39" i="22" s="1"/>
  <c r="D59" i="26"/>
  <c r="D62" i="26" s="1"/>
  <c r="AQ60" i="26"/>
  <c r="J61" i="26"/>
  <c r="C10" i="39"/>
  <c r="C13" i="39" s="1"/>
  <c r="AK29" i="22" l="1"/>
  <c r="AK39" i="22" s="1"/>
  <c r="AK41" i="22"/>
  <c r="AK44" i="22" s="1"/>
  <c r="C28" i="52"/>
  <c r="C32" i="52" s="1"/>
  <c r="C41" i="52" s="1"/>
  <c r="AW60" i="26"/>
  <c r="D67" i="26"/>
  <c r="AW54" i="26"/>
  <c r="AQ61" i="26"/>
  <c r="AW61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J23" authorId="0" shapeId="0" xr:uid="{AD4AC41E-9F6C-4F9A-B64B-BFC1A442FBD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11470600+1115300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S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2021.évi állami tám. vissza</t>
        </r>
      </text>
    </comment>
    <comment ref="U13" authorId="0" shapeId="0" xr:uid="{0CFA9FCD-D8F8-467E-8BE6-CB3A71C93A8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2578209 Ft EFOP.1.5.2 visszafizetés</t>
        </r>
      </text>
    </comment>
    <comment ref="AB2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teszk. Beszerzése
Hivatal felújtására
</t>
        </r>
      </text>
    </comment>
    <comment ref="AE24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felújtása</t>
        </r>
      </text>
    </comment>
  </commentList>
</comments>
</file>

<file path=xl/sharedStrings.xml><?xml version="1.0" encoding="utf-8"?>
<sst xmlns="http://schemas.openxmlformats.org/spreadsheetml/2006/main" count="1195" uniqueCount="432">
  <si>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</si>
  <si>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</si>
  <si>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</si>
  <si>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</si>
  <si>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</si>
  <si>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</si>
  <si>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</si>
  <si>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</si>
  <si>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</si>
  <si>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</si>
  <si>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</si>
  <si>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</si>
  <si>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</si>
  <si>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</si>
  <si>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</si>
  <si>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</si>
  <si>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</si>
  <si>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</si>
  <si>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</si>
  <si>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</si>
  <si>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</si>
  <si>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</si>
  <si>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</si>
  <si>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</si>
  <si>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</si>
  <si>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</si>
  <si>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</si>
  <si>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</si>
  <si>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</si>
  <si>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</si>
  <si>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</si>
  <si>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</si>
  <si>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</si>
  <si>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</si>
  <si>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</si>
  <si>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</si>
  <si>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</si>
  <si>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</si>
  <si>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</si>
  <si>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</si>
  <si>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</si>
  <si>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</si>
  <si>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</si>
  <si>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Egyéb működési célú kiadások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</si>
  <si>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</si>
  <si>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</si>
  <si>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</si>
  <si>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</si>
  <si>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</si>
  <si>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</si>
  <si>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</si>
  <si>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</si>
  <si>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</si>
  <si>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</si>
  <si>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</si>
  <si>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</si>
  <si>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</si>
  <si>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</si>
  <si>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</si>
  <si>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</si>
  <si>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</si>
  <si>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</si>
  <si>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</si>
  <si>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</si>
  <si>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</si>
  <si>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</si>
  <si>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</si>
  <si>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</si>
  <si>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</si>
  <si>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</si>
  <si>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</si>
  <si>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</si>
  <si>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</si>
  <si>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</si>
  <si>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</si>
  <si>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</si>
  <si>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</si>
  <si>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</si>
  <si>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</si>
  <si>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</si>
  <si>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</si>
  <si>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</si>
  <si>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</si>
  <si>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</si>
  <si>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</si>
  <si>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</si>
  <si>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</si>
  <si>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</si>
  <si>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</si>
  <si>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</si>
  <si>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</si>
  <si>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</si>
  <si>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</si>
  <si>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</si>
  <si>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</si>
  <si>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</si>
  <si>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</si>
  <si>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</si>
  <si>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</si>
  <si>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</si>
  <si>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</si>
  <si>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</si>
  <si>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</si>
  <si>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</si>
  <si>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</si>
  <si>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</si>
  <si>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</si>
  <si>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</si>
  <si>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</si>
  <si>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</si>
  <si>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</si>
  <si>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</si>
  <si>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</si>
  <si>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</si>
  <si>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</si>
  <si>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</si>
  <si>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</si>
  <si>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</si>
  <si>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</si>
  <si>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</si>
  <si>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</si>
  <si>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</si>
  <si>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</si>
  <si>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</si>
  <si>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</si>
  <si>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</si>
  <si>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</si>
  <si>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</si>
  <si>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</si>
  <si>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</si>
  <si>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</si>
  <si>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</si>
  <si>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</si>
  <si>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</si>
  <si>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</si>
  <si>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</si>
  <si>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</si>
  <si>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</si>
  <si>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</si>
  <si>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</si>
  <si>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</si>
  <si>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</si>
  <si>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</si>
  <si>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</si>
  <si>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</si>
  <si>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</si>
  <si>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</si>
  <si>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</si>
  <si>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</si>
  <si>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</si>
  <si>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</si>
  <si>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</si>
  <si>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</si>
  <si>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</si>
  <si>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</si>
  <si>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</si>
  <si>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</si>
  <si>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</si>
  <si>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</si>
  <si>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</si>
  <si>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</si>
  <si>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</si>
  <si>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</si>
  <si>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</si>
  <si>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</si>
  <si>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</si>
  <si>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</si>
  <si>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</si>
  <si>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</si>
  <si>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</si>
  <si>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</si>
  <si>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</si>
  <si>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</si>
  <si>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</si>
  <si>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</si>
  <si>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</si>
  <si>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</si>
  <si>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</si>
  <si>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</si>
  <si>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</si>
  <si>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</si>
  <si>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</si>
  <si>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</si>
  <si>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</si>
  <si>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</si>
  <si>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</si>
  <si>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Támogatási c. fin. Műveletek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</si>
  <si>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</si>
  <si>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</si>
  <si>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</si>
  <si>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</si>
  <si>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</si>
  <si>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</si>
  <si>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</si>
  <si>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</si>
  <si>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</si>
  <si>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</si>
  <si>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</si>
  <si>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</si>
  <si>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</si>
  <si>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</si>
  <si>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</si>
  <si>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</si>
  <si>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Önkormányzat által saját hatáskörben adott más ellátás(107060)</t>
  </si>
  <si>
    <t>Éven túli célhitel törlesztése(900060)</t>
  </si>
  <si>
    <t>Cofog/Feladat</t>
  </si>
  <si>
    <t>Q</t>
  </si>
  <si>
    <t>Kamatmentes kölcsön</t>
  </si>
  <si>
    <t>Köztemető fenntartás(013320)</t>
  </si>
  <si>
    <t>Növénytermesztés, állattenyésztés és kapcsolódó szolgáltatások(042130)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</si>
  <si>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</si>
  <si>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</si>
  <si>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</si>
  <si>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</si>
  <si>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</si>
  <si>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</si>
  <si>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</si>
  <si>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</si>
  <si>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</si>
  <si>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</si>
  <si>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</si>
  <si>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</si>
  <si>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</si>
  <si>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</si>
  <si>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</si>
  <si>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</si>
  <si>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</si>
  <si>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</si>
  <si>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</si>
  <si>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</si>
  <si>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</si>
  <si>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</si>
  <si>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</si>
  <si>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</si>
  <si>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</si>
  <si>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</si>
  <si>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</si>
  <si>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</si>
  <si>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</si>
  <si>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</si>
  <si>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</si>
  <si>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</si>
  <si>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</si>
  <si>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</si>
  <si>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</si>
  <si>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</si>
  <si>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</si>
  <si>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</si>
  <si>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</si>
  <si>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</si>
  <si>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</si>
  <si>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</si>
  <si>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</si>
  <si>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</si>
  <si>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</si>
  <si>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</si>
  <si>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</si>
  <si>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</si>
  <si>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</si>
  <si>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</si>
  <si>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</si>
  <si>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</si>
  <si>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</si>
  <si>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</si>
  <si>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</si>
  <si>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</si>
  <si>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</si>
  <si>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</si>
  <si>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</si>
  <si>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</si>
  <si>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</si>
  <si>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</si>
  <si>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</si>
  <si>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</si>
  <si>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</si>
  <si>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</si>
  <si>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</si>
  <si>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</si>
  <si>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</si>
  <si>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</si>
  <si>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</si>
  <si>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</si>
  <si>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</si>
  <si>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</si>
  <si>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</si>
  <si>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</si>
  <si>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</si>
  <si>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</si>
  <si>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</si>
  <si>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s.sz.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</si>
  <si>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</si>
  <si>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</si>
  <si>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</si>
  <si>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</si>
  <si>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</si>
  <si>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</si>
  <si>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</si>
  <si>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</si>
  <si>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</si>
  <si>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</si>
  <si>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</si>
  <si>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</si>
  <si>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</si>
  <si>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</si>
  <si>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TOP-1.4.1-19-BSI-2019-00014 Mini bölcsőde kialakítása</t>
  </si>
  <si>
    <t>Egyesített Szociális Intézmény-egyéb tárgyi eszközök</t>
  </si>
  <si>
    <t>Adatok Ft-ban</t>
  </si>
  <si>
    <t>Csorvás Város Önk. Óvodája és Bölcsődéje</t>
  </si>
  <si>
    <t>Felújtás</t>
  </si>
  <si>
    <t>Összesen felhalmozási kiadások:</t>
  </si>
  <si>
    <t>Eredeti előirányzat</t>
  </si>
  <si>
    <t>Módosított előirányzat</t>
  </si>
  <si>
    <t>33.</t>
  </si>
  <si>
    <t>CSORVÁS VÁROS ÖNKORMÁNYZATA ÉS KÖLTSÉGVETÉSI SZERVEI PÉNZELLÁTÁSA</t>
  </si>
  <si>
    <t>Csorváson működő önszerveződő közösségek támogatása</t>
  </si>
  <si>
    <t>Magánszemélyek kommunális adója</t>
  </si>
  <si>
    <t>Kormányzati funkció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</si>
  <si>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</si>
  <si>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</si>
  <si>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</si>
  <si>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</si>
  <si>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</si>
  <si>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</si>
  <si>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</si>
  <si>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</si>
  <si>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</si>
  <si>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</si>
  <si>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</si>
  <si>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</si>
  <si>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ESZI felújtás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</si>
  <si>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</si>
  <si>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</si>
  <si>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</si>
  <si>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</si>
  <si>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</si>
  <si>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</si>
  <si>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</si>
  <si>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</si>
  <si>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</si>
  <si>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</si>
  <si>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</si>
  <si>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</si>
  <si>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</si>
  <si>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Csorvás Város Önkormányzata 2022. évi bevételeinek alakulása - Csorvási Polgármesteri Hivatal 
forintban</t>
  </si>
  <si>
    <t>2022. évi eredeti ei.</t>
  </si>
  <si>
    <t>2022. 
mód ei.</t>
  </si>
  <si>
    <t>Csorvás Város Önkormányzatának Óvodája és Bölcsődéje 2022. évi bevételeinek alakulása
forintban</t>
  </si>
  <si>
    <t>Csorvás Város Önkormányzatának Óvodája és Bölcsődéje 2022. évi kiadások kiemelt előirányzatonként
forintban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</si>
  <si>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</si>
  <si>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</si>
  <si>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</si>
  <si>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</si>
  <si>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</si>
  <si>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Csorvás Város Önkormányzatának Egyesített Szociális Intézménye 2022. évi kiadások kiemelt előirányzatonként
forintban</t>
  </si>
  <si>
    <t>2022 évi eredeti ei.</t>
  </si>
  <si>
    <t>Hosszabb időtart.közfogl.('041233)</t>
  </si>
  <si>
    <t>2022. évi előirányzat</t>
  </si>
  <si>
    <t>Önkormányzatokfinanszirozások ('018030)</t>
  </si>
  <si>
    <t xml:space="preserve">Csorvás Város Önkormányzat 2022 évi bevételeinek alakulása -kormányzati funkcióként </t>
  </si>
  <si>
    <t>2022. előirányzat</t>
  </si>
  <si>
    <t>2022. 
előirányzat</t>
  </si>
  <si>
    <t>Mezőgazdasági támogatások(042120)</t>
  </si>
  <si>
    <t>Településfejlesztési projektek  (062020)</t>
  </si>
  <si>
    <t>Az Önkormányzat 2022. évi költségvetésének bevételei:</t>
  </si>
  <si>
    <t>2022. évi 
előirányzat</t>
  </si>
  <si>
    <t>2022. évi
mód. előirányzat</t>
  </si>
  <si>
    <t>Közmunkaprogramban részt vevő 2021.03.01-2022.02.28.</t>
  </si>
  <si>
    <t>Közmunkaprogramban részt vevő :</t>
  </si>
  <si>
    <t>Csorvási Polgármesteri Hivatal 2022. évi kiadások kiemelt előirányzatonként
forintban</t>
  </si>
  <si>
    <t>Önkormányzat térfigyelő kamerák</t>
  </si>
  <si>
    <t>Gyalogátkelőhely rendszer(okos zebrák)</t>
  </si>
  <si>
    <t xml:space="preserve">Vízmű rekonstrukciós </t>
  </si>
  <si>
    <t>Kossuth és Batthyány utcák szakaszos burkolatfelújtása, egyéb utak burkolatfelújtása</t>
  </si>
  <si>
    <t>TOP.1.4.1-16-BS1-2018-00044(Óvodai kültéri eszközfejleszése-kültéri játékok beszerzése)</t>
  </si>
  <si>
    <t>Önkormányzati épületek energetikai korszerüsítése-Napelemes fejlesztés és tornacsarnok villamosság korszerüsítése</t>
  </si>
  <si>
    <t>MFP-ÖTIK/2021.3284982176 -Városháza tetőfelújtása</t>
  </si>
  <si>
    <t>MFP-ÖTIK/2021.3284944660 -Edison klub felújtása</t>
  </si>
  <si>
    <t>Polgármester Hivatal egyéb tárgyi eszközök, informatikai eszközök beszerzése</t>
  </si>
  <si>
    <t>Önkormányzat -Polgármester Hivatal étkező konyha kialakítása, egyéb tárgy eszközök beszerzése</t>
  </si>
  <si>
    <t>Önkormányzat-egyéb tárgyi eszközök beszerzése</t>
  </si>
  <si>
    <t>Önkormányzat-közvilágitás felújtás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</si>
  <si>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</si>
  <si>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</si>
  <si>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</si>
  <si>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</si>
  <si>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</si>
  <si>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 xml:space="preserve">Csorvás Város Önkormányzatának Egyesített Szociális Intézménye 2022. évi bevételeinek alakulása                                                                                                              </t>
  </si>
  <si>
    <t xml:space="preserve"> adatok Ft-ban</t>
  </si>
  <si>
    <t>Az Önkormányzat 2022. évi költségvetési 
bevételei és kiadásai mérlegét jogcímek szerint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</si>
  <si>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</si>
  <si>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</si>
  <si>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</si>
  <si>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</si>
  <si>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</si>
  <si>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</si>
  <si>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</si>
  <si>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</si>
  <si>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</si>
  <si>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Országgyűlési képviselőválasztás('016010)</t>
  </si>
  <si>
    <t>Közfogl. Bér('041233)</t>
  </si>
  <si>
    <t>Külterületi útak-VP-pályázat</t>
  </si>
  <si>
    <t>MFP-út felújtása Szántó J. utca</t>
  </si>
  <si>
    <t>Könyvtár nyilászárok MFP-pályázat</t>
  </si>
  <si>
    <t>Temető-urnafalépítése- MFP-pályázat</t>
  </si>
  <si>
    <t>Kommunális fügesztett sószóró</t>
  </si>
  <si>
    <t>2022.félévi.teljesítés</t>
  </si>
  <si>
    <t>Egyéb szociális pénzbeli és term. Ellátások(107060)</t>
  </si>
  <si>
    <r>
      <t>Önk</t>
    </r>
    <r>
      <rPr>
        <sz val="10"/>
        <color rgb="FF000000"/>
        <rFont val="Times New Roman"/>
        <family val="1"/>
        <charset val="238"/>
      </rPr>
      <t>ormányzati igazgatási tevékenység(031110)-</t>
    </r>
  </si>
  <si>
    <t>Átfogó tervezési és statisztikai szolg.(013210)</t>
  </si>
  <si>
    <t>Országgyűlési, önk. És europai parlament képv. Válszt.(016010)</t>
  </si>
  <si>
    <t>2022.félévi teljesítés</t>
  </si>
  <si>
    <t>Kötelező feladatok(011130)</t>
  </si>
  <si>
    <t>Államigazgatási feladatok(011130)</t>
  </si>
  <si>
    <t>2022.félévi  teljesítés</t>
  </si>
  <si>
    <t>Önkormányzat (Polgármesteri hivatal)épület. Felújtása,egyéb felújtás</t>
  </si>
  <si>
    <t>Teljesítés %</t>
  </si>
  <si>
    <t>39.</t>
  </si>
  <si>
    <t>40.</t>
  </si>
  <si>
    <t>2. melléklet az önkormányzat 2022.félévi beszámoló</t>
  </si>
  <si>
    <t>3. melléklet az önkormányzat 2022. félévi beszámoló</t>
  </si>
  <si>
    <t>4.  melléklet az önkormányzat 2022 félévi beszámoló</t>
  </si>
  <si>
    <t>5.  melléklet az önkormányzat 2022. félévi beszámoló</t>
  </si>
  <si>
    <t>6.  melléklet az önkormányzat 2022. félévi beszámoló</t>
  </si>
  <si>
    <t>7.  melléklet az önkormányzat 2022. félévi beszámoló</t>
  </si>
  <si>
    <t>8. melléklet az önkormányzat 2021. félévi beszámoló</t>
  </si>
  <si>
    <t>9. melléklet az Önkormányzat 2022. félévi beszámoló</t>
  </si>
  <si>
    <t xml:space="preserve">10. melléklet az önkormányzat 2022. félévi </t>
  </si>
  <si>
    <t>11. melléklet az önkormányzat 2022. félévi beszámoló</t>
  </si>
  <si>
    <t>12. melléklet az önkormányzat 2022. félévi beszámoló</t>
  </si>
  <si>
    <t>Ukrán menekültek támogatása</t>
  </si>
  <si>
    <t>Major Gyula e.v.(film készítés támogatása)</t>
  </si>
  <si>
    <t>13. melléklet az önkormányzat 2022. félévi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</si>
</sst>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,##0.0000"/>
    <numFmt numFmtId="170" formatCode="#,##0\ &quot;Ft&quot;"/>
    <numFmt numFmtId="171" formatCode="#,##0.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name val="Times New Roman"/>
      <family val="1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2" fillId="0" borderId="0"/>
    <xf numFmtId="0" fontId="38" fillId="0" borderId="0"/>
    <xf numFmtId="0" fontId="4" fillId="0" borderId="0"/>
    <xf numFmtId="0" fontId="32" fillId="0" borderId="0"/>
    <xf numFmtId="164" fontId="40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2" fillId="0" borderId="0"/>
    <xf numFmtId="0" fontId="52" fillId="0" borderId="0"/>
    <xf numFmtId="0" fontId="32" fillId="0" borderId="0"/>
    <xf numFmtId="0" fontId="68" fillId="0" borderId="0"/>
    <xf numFmtId="0" fontId="73" fillId="0" borderId="0"/>
    <xf numFmtId="0" fontId="1" fillId="0" borderId="0"/>
  </cellStyleXfs>
  <cellXfs count="581">
    <xf numFmtId="0" fontId="0" fillId="0" borderId="0" xfId="0"/>
    <xf numFmtId="0" fontId="11" fillId="0" borderId="1" xfId="1" applyFont="1" applyFill="1" applyBorder="1" applyAlignment="1">
      <alignment horizontal="center"/>
    </xf>
    <xf numFmtId="0" fontId="15" fillId="0" borderId="1" xfId="1" applyFont="1" applyFill="1" applyBorder="1" applyAlignment="1">
      <alignment vertical="center"/>
    </xf>
    <xf numFmtId="0" fontId="10" fillId="0" borderId="0" xfId="1" applyFont="1" applyFill="1"/>
    <xf numFmtId="0" fontId="24" fillId="0" borderId="1" xfId="5" applyFont="1" applyFill="1" applyBorder="1" applyAlignment="1">
      <alignment vertical="center"/>
    </xf>
    <xf numFmtId="0" fontId="25" fillId="0" borderId="1" xfId="5" applyFont="1" applyFill="1" applyBorder="1" applyAlignment="1">
      <alignment horizontal="center"/>
    </xf>
    <xf numFmtId="0" fontId="16" fillId="0" borderId="1" xfId="5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 applyAlignment="1">
      <alignment horizontal="right" vertical="center" wrapText="1"/>
    </xf>
    <xf numFmtId="0" fontId="22" fillId="0" borderId="0" xfId="5" applyFont="1" applyFill="1"/>
    <xf numFmtId="0" fontId="16" fillId="2" borderId="1" xfId="5" applyFont="1" applyFill="1" applyBorder="1" applyAlignment="1">
      <alignment vertical="center"/>
    </xf>
    <xf numFmtId="0" fontId="22" fillId="0" borderId="1" xfId="5" applyFont="1" applyFill="1" applyBorder="1" applyAlignment="1">
      <alignment horizontal="center"/>
    </xf>
    <xf numFmtId="0" fontId="27" fillId="0" borderId="1" xfId="5" applyFont="1" applyFill="1" applyBorder="1" applyAlignment="1">
      <alignment horizontal="center" wrapText="1"/>
    </xf>
    <xf numFmtId="0" fontId="28" fillId="0" borderId="1" xfId="5" applyFont="1" applyFill="1" applyBorder="1" applyAlignment="1">
      <alignment horizontal="center" vertical="center"/>
    </xf>
    <xf numFmtId="0" fontId="29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/>
    <xf numFmtId="0" fontId="27" fillId="0" borderId="1" xfId="5" applyFont="1" applyFill="1" applyBorder="1" applyAlignment="1">
      <alignment horizontal="center"/>
    </xf>
    <xf numFmtId="0" fontId="29" fillId="0" borderId="1" xfId="5" applyFont="1" applyFill="1" applyBorder="1" applyAlignment="1">
      <alignment vertical="center"/>
    </xf>
    <xf numFmtId="0" fontId="29" fillId="0" borderId="0" xfId="5" applyFont="1" applyFill="1"/>
    <xf numFmtId="0" fontId="22" fillId="0" borderId="1" xfId="5" applyFont="1" applyFill="1" applyBorder="1" applyAlignment="1">
      <alignment vertical="center"/>
    </xf>
    <xf numFmtId="0" fontId="29" fillId="0" borderId="1" xfId="5" applyFont="1" applyFill="1" applyBorder="1"/>
    <xf numFmtId="3" fontId="22" fillId="0" borderId="0" xfId="5" applyNumberFormat="1" applyFont="1" applyFill="1"/>
    <xf numFmtId="0" fontId="10" fillId="0" borderId="1" xfId="1" applyFont="1" applyFill="1" applyBorder="1"/>
    <xf numFmtId="0" fontId="13" fillId="0" borderId="1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/>
    <xf numFmtId="0" fontId="10" fillId="0" borderId="1" xfId="1" applyFont="1" applyFill="1" applyBorder="1" applyAlignment="1">
      <alignment vertical="center"/>
    </xf>
    <xf numFmtId="0" fontId="14" fillId="0" borderId="1" xfId="1" applyFont="1" applyFill="1" applyBorder="1"/>
    <xf numFmtId="165" fontId="10" fillId="0" borderId="0" xfId="1" applyNumberFormat="1" applyFont="1" applyFill="1"/>
    <xf numFmtId="165" fontId="29" fillId="0" borderId="1" xfId="5" applyNumberFormat="1" applyFont="1" applyFill="1" applyBorder="1" applyAlignment="1">
      <alignment horizontal="right" vertical="center"/>
    </xf>
    <xf numFmtId="165" fontId="29" fillId="0" borderId="1" xfId="5" applyNumberFormat="1" applyFont="1" applyFill="1" applyBorder="1" applyAlignment="1">
      <alignment horizontal="right" vertical="center" wrapText="1"/>
    </xf>
    <xf numFmtId="0" fontId="16" fillId="0" borderId="1" xfId="5" applyFont="1" applyFill="1" applyBorder="1" applyAlignment="1">
      <alignment vertical="center" wrapText="1"/>
    </xf>
    <xf numFmtId="3" fontId="29" fillId="0" borderId="1" xfId="5" applyNumberFormat="1" applyFont="1" applyFill="1" applyBorder="1"/>
    <xf numFmtId="0" fontId="29" fillId="0" borderId="1" xfId="5" applyFont="1" applyFill="1" applyBorder="1" applyAlignment="1">
      <alignment horizontal="center"/>
    </xf>
    <xf numFmtId="0" fontId="31" fillId="0" borderId="1" xfId="5" applyFont="1" applyFill="1" applyBorder="1" applyAlignment="1">
      <alignment horizontal="left" vertical="center"/>
    </xf>
    <xf numFmtId="0" fontId="28" fillId="0" borderId="1" xfId="5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vertical="center"/>
    </xf>
    <xf numFmtId="0" fontId="14" fillId="0" borderId="0" xfId="1" applyFont="1" applyFill="1" applyBorder="1"/>
    <xf numFmtId="0" fontId="10" fillId="0" borderId="0" xfId="5" applyFont="1" applyFill="1"/>
    <xf numFmtId="0" fontId="11" fillId="0" borderId="1" xfId="5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vertical="center"/>
    </xf>
    <xf numFmtId="0" fontId="10" fillId="0" borderId="1" xfId="5" applyFont="1" applyFill="1" applyBorder="1"/>
    <xf numFmtId="0" fontId="6" fillId="0" borderId="0" xfId="5" applyFill="1"/>
    <xf numFmtId="3" fontId="6" fillId="0" borderId="0" xfId="5" applyNumberFormat="1" applyFill="1"/>
    <xf numFmtId="0" fontId="11" fillId="0" borderId="1" xfId="5" applyFont="1" applyFill="1" applyBorder="1" applyAlignment="1">
      <alignment horizontal="center" wrapText="1"/>
    </xf>
    <xf numFmtId="0" fontId="6" fillId="0" borderId="1" xfId="5" applyFill="1" applyBorder="1"/>
    <xf numFmtId="0" fontId="6" fillId="0" borderId="0" xfId="5" applyFill="1" applyBorder="1"/>
    <xf numFmtId="0" fontId="14" fillId="0" borderId="1" xfId="5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wrapText="1"/>
    </xf>
    <xf numFmtId="0" fontId="18" fillId="0" borderId="0" xfId="5" applyFont="1" applyFill="1"/>
    <xf numFmtId="0" fontId="21" fillId="0" borderId="1" xfId="5" applyFont="1" applyFill="1" applyBorder="1" applyAlignment="1">
      <alignment horizontal="center" vertical="center"/>
    </xf>
    <xf numFmtId="0" fontId="11" fillId="0" borderId="0" xfId="5" applyFont="1" applyFill="1" applyAlignment="1">
      <alignment horizontal="center"/>
    </xf>
    <xf numFmtId="0" fontId="8" fillId="0" borderId="1" xfId="5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vertical="center"/>
    </xf>
    <xf numFmtId="0" fontId="25" fillId="0" borderId="0" xfId="5" applyFont="1" applyFill="1"/>
    <xf numFmtId="3" fontId="22" fillId="0" borderId="1" xfId="5" applyNumberFormat="1" applyFont="1" applyFill="1" applyBorder="1"/>
    <xf numFmtId="0" fontId="29" fillId="0" borderId="1" xfId="5" applyFont="1" applyFill="1" applyBorder="1" applyAlignment="1">
      <alignment horizontal="center" vertical="center"/>
    </xf>
    <xf numFmtId="3" fontId="22" fillId="0" borderId="1" xfId="5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3" fontId="10" fillId="0" borderId="0" xfId="5" applyNumberFormat="1" applyFont="1" applyFill="1"/>
    <xf numFmtId="3" fontId="14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/>
    <xf numFmtId="3" fontId="15" fillId="0" borderId="1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/>
    <xf numFmtId="1" fontId="10" fillId="0" borderId="1" xfId="1" applyNumberFormat="1" applyFont="1" applyFill="1" applyBorder="1"/>
    <xf numFmtId="3" fontId="10" fillId="0" borderId="1" xfId="1" applyNumberFormat="1" applyFont="1" applyFill="1" applyBorder="1" applyAlignment="1">
      <alignment horizontal="right"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horizontal="right" vertical="center"/>
    </xf>
    <xf numFmtId="3" fontId="10" fillId="0" borderId="1" xfId="5" applyNumberFormat="1" applyFont="1" applyFill="1" applyBorder="1"/>
    <xf numFmtId="3" fontId="15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0" fillId="0" borderId="1" xfId="5" applyNumberFormat="1" applyFont="1" applyFill="1" applyBorder="1" applyAlignment="1">
      <alignment vertical="center"/>
    </xf>
    <xf numFmtId="3" fontId="24" fillId="0" borderId="1" xfId="5" applyNumberFormat="1" applyFont="1" applyFill="1" applyBorder="1" applyAlignment="1">
      <alignment vertical="center"/>
    </xf>
    <xf numFmtId="3" fontId="24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right" vertical="center" wrapText="1"/>
    </xf>
    <xf numFmtId="3" fontId="16" fillId="0" borderId="1" xfId="5" applyNumberFormat="1" applyFont="1" applyFill="1" applyBorder="1" applyAlignment="1">
      <alignment vertical="center"/>
    </xf>
    <xf numFmtId="3" fontId="16" fillId="0" borderId="1" xfId="6" applyNumberFormat="1" applyFont="1" applyFill="1" applyBorder="1" applyAlignment="1">
      <alignment vertical="center"/>
    </xf>
    <xf numFmtId="3" fontId="30" fillId="0" borderId="1" xfId="5" applyNumberFormat="1" applyFont="1" applyFill="1" applyBorder="1" applyAlignment="1">
      <alignment vertical="center"/>
    </xf>
    <xf numFmtId="3" fontId="16" fillId="0" borderId="1" xfId="5" applyNumberFormat="1" applyFont="1" applyFill="1" applyBorder="1" applyAlignment="1">
      <alignment horizontal="right" vertical="center"/>
    </xf>
    <xf numFmtId="3" fontId="16" fillId="0" borderId="1" xfId="6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0" fontId="29" fillId="0" borderId="1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3" fontId="23" fillId="2" borderId="1" xfId="5" applyNumberFormat="1" applyFont="1" applyFill="1" applyBorder="1" applyAlignment="1">
      <alignment horizontal="right" vertical="center"/>
    </xf>
    <xf numFmtId="0" fontId="10" fillId="0" borderId="1" xfId="5" quotePrefix="1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vertical="center"/>
    </xf>
    <xf numFmtId="3" fontId="16" fillId="2" borderId="1" xfId="6" applyNumberFormat="1" applyFont="1" applyFill="1" applyBorder="1" applyAlignment="1">
      <alignment vertical="center"/>
    </xf>
    <xf numFmtId="0" fontId="29" fillId="0" borderId="1" xfId="5" applyFont="1" applyFill="1" applyBorder="1" applyAlignment="1">
      <alignment horizontal="center" wrapText="1"/>
    </xf>
    <xf numFmtId="0" fontId="22" fillId="0" borderId="1" xfId="5" applyFont="1" applyFill="1" applyBorder="1" applyAlignment="1">
      <alignment horizontal="center" wrapText="1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/>
    <xf numFmtId="0" fontId="10" fillId="0" borderId="1" xfId="5" applyFont="1" applyFill="1" applyBorder="1" applyAlignment="1">
      <alignment vertical="center"/>
    </xf>
    <xf numFmtId="3" fontId="16" fillId="2" borderId="1" xfId="5" applyNumberFormat="1" applyFont="1" applyFill="1" applyBorder="1" applyAlignment="1">
      <alignment horizontal="right" vertical="center"/>
    </xf>
    <xf numFmtId="3" fontId="34" fillId="0" borderId="1" xfId="5" applyNumberFormat="1" applyFont="1" applyFill="1" applyBorder="1" applyAlignment="1">
      <alignment vertical="center"/>
    </xf>
    <xf numFmtId="3" fontId="33" fillId="0" borderId="1" xfId="5" applyNumberFormat="1" applyFont="1" applyFill="1" applyBorder="1" applyAlignment="1">
      <alignment horizontal="right" vertical="center" wrapText="1"/>
    </xf>
    <xf numFmtId="3" fontId="10" fillId="0" borderId="0" xfId="1" applyNumberFormat="1" applyFont="1" applyFill="1"/>
    <xf numFmtId="3" fontId="16" fillId="2" borderId="1" xfId="5" applyNumberFormat="1" applyFont="1" applyFill="1" applyBorder="1" applyAlignment="1">
      <alignment horizontal="right" vertical="center" wrapText="1"/>
    </xf>
    <xf numFmtId="3" fontId="16" fillId="2" borderId="1" xfId="5" applyNumberFormat="1" applyFont="1" applyFill="1" applyBorder="1" applyAlignment="1">
      <alignment vertical="center"/>
    </xf>
    <xf numFmtId="0" fontId="23" fillId="0" borderId="1" xfId="5" applyFont="1" applyFill="1" applyBorder="1" applyAlignment="1">
      <alignment horizontal="left" vertical="center"/>
    </xf>
    <xf numFmtId="3" fontId="22" fillId="0" borderId="1" xfId="5" applyNumberFormat="1" applyFont="1" applyFill="1" applyBorder="1" applyAlignment="1">
      <alignment horizontal="center" vertical="center" wrapText="1"/>
    </xf>
    <xf numFmtId="3" fontId="35" fillId="0" borderId="0" xfId="1" applyNumberFormat="1" applyFont="1" applyFill="1"/>
    <xf numFmtId="3" fontId="36" fillId="0" borderId="0" xfId="5" applyNumberFormat="1" applyFont="1" applyFill="1"/>
    <xf numFmtId="165" fontId="35" fillId="0" borderId="0" xfId="1" applyNumberFormat="1" applyFont="1" applyFill="1"/>
    <xf numFmtId="165" fontId="37" fillId="0" borderId="0" xfId="1" applyNumberFormat="1" applyFont="1" applyFill="1"/>
    <xf numFmtId="3" fontId="37" fillId="0" borderId="0" xfId="1" applyNumberFormat="1" applyFont="1" applyFill="1"/>
    <xf numFmtId="165" fontId="14" fillId="0" borderId="1" xfId="1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/>
    <xf numFmtId="3" fontId="43" fillId="0" borderId="1" xfId="5" applyNumberFormat="1" applyFont="1" applyFill="1" applyBorder="1" applyAlignment="1">
      <alignment horizontal="right" vertical="center"/>
    </xf>
    <xf numFmtId="3" fontId="15" fillId="0" borderId="1" xfId="5" applyNumberFormat="1" applyFont="1" applyFill="1" applyBorder="1"/>
    <xf numFmtId="3" fontId="29" fillId="0" borderId="1" xfId="5" applyNumberFormat="1" applyFont="1" applyFill="1" applyBorder="1" applyAlignment="1">
      <alignment horizontal="center" vertical="center" wrapText="1"/>
    </xf>
    <xf numFmtId="3" fontId="30" fillId="0" borderId="1" xfId="5" applyNumberFormat="1" applyFont="1" applyFill="1" applyBorder="1" applyAlignment="1">
      <alignment horizontal="right" vertical="center" wrapText="1"/>
    </xf>
    <xf numFmtId="3" fontId="22" fillId="2" borderId="0" xfId="5" applyNumberFormat="1" applyFont="1" applyFill="1"/>
    <xf numFmtId="0" fontId="22" fillId="2" borderId="1" xfId="5" applyFont="1" applyFill="1" applyBorder="1" applyAlignment="1">
      <alignment horizontal="center"/>
    </xf>
    <xf numFmtId="0" fontId="31" fillId="2" borderId="1" xfId="5" applyFont="1" applyFill="1" applyBorder="1" applyAlignment="1">
      <alignment horizontal="center" vertical="center"/>
    </xf>
    <xf numFmtId="3" fontId="22" fillId="2" borderId="1" xfId="5" applyNumberFormat="1" applyFont="1" applyFill="1" applyBorder="1" applyAlignment="1">
      <alignment horizontal="right" vertical="center"/>
    </xf>
    <xf numFmtId="0" fontId="22" fillId="2" borderId="0" xfId="5" applyFont="1" applyFill="1"/>
    <xf numFmtId="0" fontId="44" fillId="0" borderId="0" xfId="12"/>
    <xf numFmtId="3" fontId="44" fillId="0" borderId="0" xfId="12" applyNumberFormat="1"/>
    <xf numFmtId="0" fontId="15" fillId="0" borderId="0" xfId="12" applyFont="1"/>
    <xf numFmtId="165" fontId="15" fillId="0" borderId="0" xfId="12" applyNumberFormat="1" applyFont="1"/>
    <xf numFmtId="165" fontId="9" fillId="0" borderId="0" xfId="12" applyNumberFormat="1" applyFont="1" applyAlignment="1">
      <alignment horizontal="right"/>
    </xf>
    <xf numFmtId="0" fontId="9" fillId="0" borderId="0" xfId="12" applyFont="1"/>
    <xf numFmtId="49" fontId="9" fillId="0" borderId="0" xfId="12" applyNumberFormat="1" applyFont="1" applyAlignment="1">
      <alignment horizontal="left"/>
    </xf>
    <xf numFmtId="165" fontId="15" fillId="0" borderId="0" xfId="12" applyNumberFormat="1" applyFont="1" applyAlignment="1">
      <alignment horizontal="center" vertical="center"/>
    </xf>
    <xf numFmtId="49" fontId="15" fillId="0" borderId="0" xfId="12" applyNumberFormat="1" applyFont="1" applyAlignment="1">
      <alignment horizontal="center"/>
    </xf>
    <xf numFmtId="0" fontId="15" fillId="0" borderId="1" xfId="12" applyFont="1" applyBorder="1"/>
    <xf numFmtId="3" fontId="15" fillId="0" borderId="1" xfId="12" applyNumberFormat="1" applyFont="1" applyBorder="1"/>
    <xf numFmtId="3" fontId="9" fillId="0" borderId="1" xfId="12" applyNumberFormat="1" applyFont="1" applyBorder="1"/>
    <xf numFmtId="0" fontId="9" fillId="0" borderId="1" xfId="12" applyFont="1" applyBorder="1"/>
    <xf numFmtId="3" fontId="9" fillId="0" borderId="0" xfId="12" applyNumberFormat="1" applyFont="1" applyBorder="1"/>
    <xf numFmtId="0" fontId="9" fillId="0" borderId="0" xfId="12" applyFont="1" applyBorder="1" applyAlignment="1">
      <alignment wrapText="1"/>
    </xf>
    <xf numFmtId="49" fontId="9" fillId="0" borderId="0" xfId="12" applyNumberFormat="1" applyFont="1" applyBorder="1" applyAlignment="1">
      <alignment horizontal="center"/>
    </xf>
    <xf numFmtId="0" fontId="15" fillId="0" borderId="1" xfId="12" applyFont="1" applyBorder="1" applyAlignment="1">
      <alignment wrapText="1"/>
    </xf>
    <xf numFmtId="165" fontId="9" fillId="0" borderId="1" xfId="12" applyNumberFormat="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16" fillId="2" borderId="0" xfId="10" applyFont="1" applyFill="1" applyBorder="1" applyAlignment="1">
      <alignment wrapText="1"/>
    </xf>
    <xf numFmtId="0" fontId="16" fillId="2" borderId="0" xfId="10" applyFont="1" applyFill="1" applyBorder="1" applyAlignment="1"/>
    <xf numFmtId="0" fontId="50" fillId="0" borderId="0" xfId="10" applyFont="1"/>
    <xf numFmtId="0" fontId="50" fillId="2" borderId="19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6" fillId="2" borderId="21" xfId="10" applyFont="1" applyFill="1" applyBorder="1" applyAlignment="1">
      <alignment wrapText="1"/>
    </xf>
    <xf numFmtId="0" fontId="50" fillId="2" borderId="22" xfId="10" applyFont="1" applyFill="1" applyBorder="1" applyAlignment="1"/>
    <xf numFmtId="0" fontId="50" fillId="2" borderId="23" xfId="10" applyFont="1" applyFill="1" applyBorder="1" applyAlignment="1"/>
    <xf numFmtId="0" fontId="50" fillId="2" borderId="24" xfId="10" applyFont="1" applyFill="1" applyBorder="1" applyAlignment="1"/>
    <xf numFmtId="0" fontId="51" fillId="2" borderId="23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6" fillId="2" borderId="25" xfId="10" applyFont="1" applyFill="1" applyBorder="1" applyAlignment="1"/>
    <xf numFmtId="0" fontId="30" fillId="0" borderId="14" xfId="14" applyFont="1" applyFill="1" applyBorder="1" applyAlignment="1">
      <alignment horizontal="center"/>
    </xf>
    <xf numFmtId="3" fontId="30" fillId="0" borderId="7" xfId="15" applyNumberFormat="1" applyFont="1" applyFill="1" applyBorder="1" applyAlignment="1">
      <alignment horizontal="center"/>
    </xf>
    <xf numFmtId="0" fontId="32" fillId="0" borderId="0" xfId="10" applyFont="1" applyFill="1" applyAlignment="1">
      <alignment horizontal="right"/>
    </xf>
    <xf numFmtId="0" fontId="32" fillId="0" borderId="0" xfId="10" applyFont="1"/>
    <xf numFmtId="0" fontId="16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6" fillId="0" borderId="1" xfId="10" applyNumberFormat="1" applyFont="1" applyBorder="1"/>
    <xf numFmtId="0" fontId="22" fillId="0" borderId="1" xfId="10" applyFont="1" applyFill="1" applyBorder="1" applyAlignment="1" applyProtection="1">
      <alignment horizontal="left" vertical="center" wrapText="1"/>
      <protection locked="0"/>
    </xf>
    <xf numFmtId="0" fontId="15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/>
    <xf numFmtId="3" fontId="30" fillId="0" borderId="12" xfId="10" applyNumberFormat="1" applyFont="1" applyFill="1" applyBorder="1"/>
    <xf numFmtId="3" fontId="16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6" fillId="0" borderId="1" xfId="10" applyNumberFormat="1" applyFont="1" applyFill="1" applyBorder="1"/>
    <xf numFmtId="3" fontId="30" fillId="0" borderId="16" xfId="10" applyNumberFormat="1" applyFont="1" applyFill="1" applyBorder="1"/>
    <xf numFmtId="3" fontId="30" fillId="0" borderId="17" xfId="10" applyNumberFormat="1" applyFont="1" applyFill="1" applyBorder="1"/>
    <xf numFmtId="0" fontId="16" fillId="0" borderId="0" xfId="14" applyFont="1" applyFill="1"/>
    <xf numFmtId="0" fontId="30" fillId="0" borderId="0" xfId="10" applyFont="1" applyFill="1" applyAlignment="1">
      <alignment horizontal="left" wrapText="1"/>
    </xf>
    <xf numFmtId="3" fontId="32" fillId="0" borderId="0" xfId="10" applyNumberFormat="1" applyFont="1" applyFill="1" applyAlignment="1">
      <alignment horizontal="right"/>
    </xf>
    <xf numFmtId="0" fontId="16" fillId="0" borderId="0" xfId="10" applyFont="1" applyFill="1"/>
    <xf numFmtId="0" fontId="16" fillId="0" borderId="0" xfId="10" applyFont="1" applyFill="1" applyAlignment="1">
      <alignment wrapText="1"/>
    </xf>
    <xf numFmtId="3" fontId="16" fillId="0" borderId="0" xfId="10" applyNumberFormat="1" applyFont="1" applyFill="1"/>
    <xf numFmtId="0" fontId="30" fillId="0" borderId="0" xfId="10" applyFont="1" applyFill="1" applyAlignment="1">
      <alignment wrapText="1"/>
    </xf>
    <xf numFmtId="3" fontId="30" fillId="0" borderId="0" xfId="10" applyNumberFormat="1" applyFont="1" applyFill="1"/>
    <xf numFmtId="0" fontId="16" fillId="0" borderId="0" xfId="10" applyFont="1"/>
    <xf numFmtId="0" fontId="16" fillId="0" borderId="0" xfId="10" applyFont="1" applyAlignment="1">
      <alignment wrapText="1"/>
    </xf>
    <xf numFmtId="3" fontId="16" fillId="0" borderId="0" xfId="10" applyNumberFormat="1" applyFont="1"/>
    <xf numFmtId="3" fontId="16" fillId="0" borderId="0" xfId="15" applyNumberFormat="1" applyFont="1" applyAlignment="1">
      <alignment horizontal="right"/>
    </xf>
    <xf numFmtId="0" fontId="30" fillId="0" borderId="0" xfId="14" applyFont="1" applyAlignment="1">
      <alignment wrapText="1"/>
    </xf>
    <xf numFmtId="3" fontId="30" fillId="0" borderId="0" xfId="10" applyNumberFormat="1" applyFont="1"/>
    <xf numFmtId="0" fontId="16" fillId="0" borderId="0" xfId="14" applyFont="1"/>
    <xf numFmtId="0" fontId="30" fillId="0" borderId="0" xfId="10" applyFont="1" applyAlignment="1">
      <alignment horizontal="left" wrapText="1"/>
    </xf>
    <xf numFmtId="0" fontId="30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30" fillId="0" borderId="0" xfId="10" applyNumberFormat="1" applyFont="1" applyAlignment="1">
      <alignment horizontal="right"/>
    </xf>
    <xf numFmtId="3" fontId="30" fillId="0" borderId="0" xfId="15" applyNumberFormat="1" applyFont="1" applyAlignment="1">
      <alignment horizontal="right"/>
    </xf>
    <xf numFmtId="3" fontId="16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30" fillId="0" borderId="0" xfId="10" applyFont="1" applyAlignment="1">
      <alignment wrapText="1"/>
    </xf>
    <xf numFmtId="3" fontId="30" fillId="0" borderId="0" xfId="14" applyNumberFormat="1" applyFont="1"/>
    <xf numFmtId="0" fontId="32" fillId="0" borderId="0" xfId="10" applyFont="1" applyAlignment="1">
      <alignment horizontal="right"/>
    </xf>
    <xf numFmtId="0" fontId="16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30" fillId="0" borderId="0" xfId="14" applyFont="1"/>
    <xf numFmtId="0" fontId="16" fillId="0" borderId="0" xfId="14" applyFont="1" applyAlignment="1">
      <alignment horizontal="right"/>
    </xf>
    <xf numFmtId="3" fontId="16" fillId="0" borderId="0" xfId="14" applyNumberFormat="1" applyFont="1"/>
    <xf numFmtId="0" fontId="16" fillId="0" borderId="0" xfId="10" applyFont="1" applyAlignment="1">
      <alignment horizontal="right"/>
    </xf>
    <xf numFmtId="167" fontId="56" fillId="0" borderId="0" xfId="10" applyNumberFormat="1" applyFont="1"/>
    <xf numFmtId="37" fontId="16" fillId="0" borderId="0" xfId="10" applyNumberFormat="1" applyFont="1" applyAlignment="1">
      <alignment wrapText="1"/>
    </xf>
    <xf numFmtId="167" fontId="16" fillId="0" borderId="0" xfId="10" applyNumberFormat="1" applyFont="1"/>
    <xf numFmtId="167" fontId="30" fillId="0" borderId="0" xfId="10" applyNumberFormat="1" applyFont="1"/>
    <xf numFmtId="167" fontId="57" fillId="0" borderId="0" xfId="10" applyNumberFormat="1" applyFont="1"/>
    <xf numFmtId="37" fontId="16" fillId="0" borderId="0" xfId="10" applyNumberFormat="1" applyFont="1" applyAlignment="1">
      <alignment horizontal="right"/>
    </xf>
    <xf numFmtId="37" fontId="30" fillId="0" borderId="0" xfId="10" applyNumberFormat="1" applyFont="1" applyAlignment="1">
      <alignment wrapText="1"/>
    </xf>
    <xf numFmtId="37" fontId="16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6" fillId="0" borderId="0" xfId="10" applyNumberFormat="1" applyFont="1" applyAlignment="1">
      <alignment horizontal="right"/>
    </xf>
    <xf numFmtId="0" fontId="32" fillId="0" borderId="0" xfId="10" applyFont="1" applyAlignment="1">
      <alignment wrapText="1"/>
    </xf>
    <xf numFmtId="167" fontId="32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0" fontId="31" fillId="0" borderId="1" xfId="10" applyFont="1" applyFill="1" applyBorder="1" applyAlignment="1">
      <alignment vertical="center" wrapText="1"/>
    </xf>
    <xf numFmtId="3" fontId="32" fillId="0" borderId="0" xfId="10" applyNumberFormat="1" applyFont="1"/>
    <xf numFmtId="0" fontId="31" fillId="0" borderId="0" xfId="10" applyFont="1" applyFill="1" applyAlignment="1">
      <alignment horizontal="center"/>
    </xf>
    <xf numFmtId="0" fontId="28" fillId="0" borderId="0" xfId="10" applyFont="1" applyFill="1"/>
    <xf numFmtId="168" fontId="32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2" fillId="0" borderId="0" xfId="10" applyFont="1" applyAlignment="1"/>
    <xf numFmtId="168" fontId="32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2" fillId="0" borderId="0" xfId="10" applyFont="1" applyAlignment="1">
      <alignment horizontal="center"/>
    </xf>
    <xf numFmtId="167" fontId="30" fillId="0" borderId="2" xfId="16" applyNumberFormat="1" applyFont="1" applyBorder="1" applyAlignment="1">
      <alignment horizontal="right"/>
    </xf>
    <xf numFmtId="167" fontId="30" fillId="0" borderId="1" xfId="16" applyNumberFormat="1" applyFont="1" applyFill="1" applyBorder="1" applyAlignment="1">
      <alignment horizontal="left" wrapText="1"/>
    </xf>
    <xf numFmtId="3" fontId="16" fillId="0" borderId="1" xfId="16" applyNumberFormat="1" applyFont="1" applyFill="1" applyBorder="1" applyAlignment="1">
      <alignment horizontal="centerContinuous"/>
    </xf>
    <xf numFmtId="3" fontId="53" fillId="0" borderId="0" xfId="10" applyNumberFormat="1" applyFont="1" applyBorder="1"/>
    <xf numFmtId="0" fontId="16" fillId="0" borderId="1" xfId="10" applyFont="1" applyFill="1" applyBorder="1" applyAlignment="1">
      <alignment horizontal="left"/>
    </xf>
    <xf numFmtId="3" fontId="16" fillId="0" borderId="0" xfId="10" applyNumberFormat="1" applyFont="1" applyFill="1" applyBorder="1"/>
    <xf numFmtId="0" fontId="16" fillId="0" borderId="0" xfId="10" applyFont="1" applyBorder="1" applyAlignment="1">
      <alignment horizontal="left"/>
    </xf>
    <xf numFmtId="3" fontId="16" fillId="0" borderId="0" xfId="10" applyNumberFormat="1" applyFont="1" applyBorder="1"/>
    <xf numFmtId="0" fontId="32" fillId="0" borderId="1" xfId="10" applyFont="1" applyBorder="1"/>
    <xf numFmtId="3" fontId="16" fillId="0" borderId="1" xfId="10" applyNumberFormat="1" applyFont="1" applyFill="1" applyBorder="1" applyAlignment="1">
      <alignment wrapText="1"/>
    </xf>
    <xf numFmtId="0" fontId="66" fillId="0" borderId="0" xfId="10" applyFont="1"/>
    <xf numFmtId="3" fontId="66" fillId="0" borderId="0" xfId="10" applyNumberFormat="1" applyFont="1"/>
    <xf numFmtId="3" fontId="16" fillId="0" borderId="18" xfId="10" applyNumberFormat="1" applyFont="1" applyBorder="1"/>
    <xf numFmtId="0" fontId="16" fillId="0" borderId="0" xfId="10" applyFont="1" applyFill="1" applyBorder="1" applyAlignment="1">
      <alignment horizontal="left"/>
    </xf>
    <xf numFmtId="0" fontId="32" fillId="0" borderId="0" xfId="10" applyFont="1" applyFill="1"/>
    <xf numFmtId="0" fontId="30" fillId="0" borderId="0" xfId="10" applyFont="1" applyFill="1"/>
    <xf numFmtId="0" fontId="67" fillId="0" borderId="0" xfId="10" applyFont="1"/>
    <xf numFmtId="0" fontId="67" fillId="0" borderId="0" xfId="10" applyFont="1" applyFill="1"/>
    <xf numFmtId="0" fontId="16" fillId="0" borderId="0" xfId="16" applyFont="1"/>
    <xf numFmtId="0" fontId="30" fillId="0" borderId="0" xfId="16" applyFont="1" applyFill="1"/>
    <xf numFmtId="0" fontId="16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3" fontId="16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6" fillId="0" borderId="0" xfId="10" applyNumberFormat="1" applyFont="1" applyFill="1" applyAlignment="1">
      <alignment wrapText="1"/>
    </xf>
    <xf numFmtId="3" fontId="30" fillId="0" borderId="16" xfId="10" applyNumberFormat="1" applyFont="1" applyFill="1" applyBorder="1" applyAlignment="1">
      <alignment wrapText="1"/>
    </xf>
    <xf numFmtId="3" fontId="16" fillId="0" borderId="18" xfId="10" applyNumberFormat="1" applyFont="1" applyFill="1" applyBorder="1"/>
    <xf numFmtId="3" fontId="16" fillId="0" borderId="2" xfId="10" applyNumberFormat="1" applyFont="1" applyFill="1" applyBorder="1"/>
    <xf numFmtId="3" fontId="69" fillId="0" borderId="12" xfId="10" applyNumberFormat="1" applyFont="1" applyFill="1" applyBorder="1" applyAlignment="1">
      <alignment horizontal="center" vertical="center"/>
    </xf>
    <xf numFmtId="3" fontId="69" fillId="0" borderId="1" xfId="10" applyNumberFormat="1" applyFont="1" applyFill="1" applyBorder="1" applyAlignment="1">
      <alignment horizontal="center" vertical="center" wrapText="1"/>
    </xf>
    <xf numFmtId="3" fontId="30" fillId="0" borderId="1" xfId="10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right" vertical="center" wrapText="1"/>
    </xf>
    <xf numFmtId="3" fontId="16" fillId="0" borderId="1" xfId="15" applyNumberFormat="1" applyFont="1" applyFill="1" applyBorder="1" applyAlignment="1">
      <alignment horizontal="left" wrapText="1"/>
    </xf>
    <xf numFmtId="3" fontId="30" fillId="0" borderId="29" xfId="14" applyNumberFormat="1" applyFont="1" applyFill="1" applyBorder="1" applyAlignment="1">
      <alignment horizontal="center" wrapText="1"/>
    </xf>
    <xf numFmtId="0" fontId="30" fillId="0" borderId="16" xfId="10" applyFont="1" applyFill="1" applyBorder="1" applyAlignment="1">
      <alignment wrapText="1"/>
    </xf>
    <xf numFmtId="0" fontId="30" fillId="0" borderId="1" xfId="10" applyFont="1" applyFill="1" applyBorder="1" applyAlignment="1">
      <alignment horizontal="left" wrapText="1"/>
    </xf>
    <xf numFmtId="0" fontId="29" fillId="0" borderId="1" xfId="10" applyFont="1" applyFill="1" applyBorder="1" applyAlignment="1">
      <alignment horizontal="center" wrapText="1"/>
    </xf>
    <xf numFmtId="0" fontId="29" fillId="0" borderId="7" xfId="14" applyFont="1" applyFill="1" applyBorder="1" applyAlignment="1">
      <alignment horizontal="center" wrapText="1"/>
    </xf>
    <xf numFmtId="3" fontId="16" fillId="0" borderId="1" xfId="15" applyNumberFormat="1" applyFont="1" applyFill="1" applyBorder="1" applyAlignment="1">
      <alignment horizontal="center" wrapText="1"/>
    </xf>
    <xf numFmtId="3" fontId="16" fillId="0" borderId="1" xfId="10" applyNumberFormat="1" applyFont="1" applyBorder="1" applyAlignment="1">
      <alignment horizontal="center" wrapText="1"/>
    </xf>
    <xf numFmtId="3" fontId="30" fillId="0" borderId="1" xfId="15" applyNumberFormat="1" applyFont="1" applyFill="1" applyBorder="1" applyAlignment="1">
      <alignment horizontal="center" wrapText="1"/>
    </xf>
    <xf numFmtId="3" fontId="30" fillId="0" borderId="16" xfId="10" applyNumberFormat="1" applyFont="1" applyFill="1" applyBorder="1" applyAlignment="1">
      <alignment horizontal="center" wrapText="1"/>
    </xf>
    <xf numFmtId="0" fontId="62" fillId="0" borderId="1" xfId="10" applyFont="1" applyBorder="1"/>
    <xf numFmtId="3" fontId="28" fillId="0" borderId="1" xfId="10" applyNumberFormat="1" applyFont="1" applyBorder="1" applyAlignment="1">
      <alignment horizontal="center"/>
    </xf>
    <xf numFmtId="0" fontId="32" fillId="0" borderId="0" xfId="10" applyFont="1" applyBorder="1"/>
    <xf numFmtId="3" fontId="16" fillId="0" borderId="2" xfId="10" applyNumberFormat="1" applyFont="1" applyBorder="1" applyAlignment="1">
      <alignment horizontal="right"/>
    </xf>
    <xf numFmtId="0" fontId="70" fillId="0" borderId="0" xfId="12" applyFont="1"/>
    <xf numFmtId="0" fontId="72" fillId="0" borderId="0" xfId="1" applyFont="1" applyFill="1" applyAlignment="1">
      <alignment wrapText="1"/>
    </xf>
    <xf numFmtId="165" fontId="72" fillId="0" borderId="0" xfId="1" applyNumberFormat="1" applyFont="1" applyFill="1" applyAlignment="1">
      <alignment wrapText="1"/>
    </xf>
    <xf numFmtId="0" fontId="50" fillId="2" borderId="25" xfId="10" applyFont="1" applyFill="1" applyBorder="1" applyAlignment="1"/>
    <xf numFmtId="0" fontId="71" fillId="0" borderId="0" xfId="12" applyFont="1" applyAlignment="1">
      <alignment horizontal="center" wrapText="1"/>
    </xf>
    <xf numFmtId="0" fontId="72" fillId="0" borderId="0" xfId="1" applyFont="1" applyFill="1" applyAlignment="1">
      <alignment horizontal="center"/>
    </xf>
    <xf numFmtId="165" fontId="72" fillId="0" borderId="8" xfId="1" applyNumberFormat="1" applyFont="1" applyFill="1" applyBorder="1" applyAlignment="1">
      <alignment horizontal="left"/>
    </xf>
    <xf numFmtId="0" fontId="10" fillId="0" borderId="0" xfId="5" applyFont="1" applyFill="1" applyAlignment="1">
      <alignment horizontal="left"/>
    </xf>
    <xf numFmtId="0" fontId="6" fillId="0" borderId="0" xfId="5" applyFill="1" applyAlignment="1">
      <alignment horizontal="left"/>
    </xf>
    <xf numFmtId="0" fontId="10" fillId="0" borderId="0" xfId="5" applyFont="1" applyFill="1"/>
    <xf numFmtId="0" fontId="22" fillId="0" borderId="0" xfId="5" applyFont="1" applyFill="1" applyBorder="1" applyAlignment="1">
      <alignment horizontal="right"/>
    </xf>
    <xf numFmtId="0" fontId="22" fillId="0" borderId="0" xfId="5" applyFont="1" applyFill="1"/>
    <xf numFmtId="0" fontId="29" fillId="0" borderId="1" xfId="5" applyFont="1" applyFill="1" applyBorder="1" applyAlignment="1">
      <alignment horizontal="center" wrapText="1"/>
    </xf>
    <xf numFmtId="0" fontId="10" fillId="0" borderId="1" xfId="5" quotePrefix="1" applyNumberFormat="1" applyFont="1" applyFill="1" applyBorder="1" applyAlignment="1">
      <alignment horizontal="center"/>
    </xf>
    <xf numFmtId="0" fontId="10" fillId="0" borderId="3" xfId="5" quotePrefix="1" applyNumberFormat="1" applyFont="1" applyFill="1" applyBorder="1" applyAlignment="1">
      <alignment horizontal="center"/>
    </xf>
    <xf numFmtId="0" fontId="74" fillId="0" borderId="1" xfId="5" applyFont="1" applyFill="1" applyBorder="1" applyAlignment="1">
      <alignment horizontal="center" wrapText="1"/>
    </xf>
    <xf numFmtId="0" fontId="74" fillId="0" borderId="1" xfId="5" applyFont="1" applyFill="1" applyBorder="1" applyAlignment="1">
      <alignment horizontal="center"/>
    </xf>
    <xf numFmtId="0" fontId="10" fillId="0" borderId="0" xfId="5" applyFont="1" applyFill="1" applyBorder="1"/>
    <xf numFmtId="0" fontId="12" fillId="0" borderId="3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center"/>
    </xf>
    <xf numFmtId="0" fontId="11" fillId="0" borderId="13" xfId="5" applyFont="1" applyFill="1" applyBorder="1" applyAlignment="1">
      <alignment horizontal="center"/>
    </xf>
    <xf numFmtId="0" fontId="10" fillId="0" borderId="0" xfId="5" applyFont="1" applyFill="1" applyBorder="1" applyAlignment="1">
      <alignment horizontal="right"/>
    </xf>
    <xf numFmtId="0" fontId="15" fillId="0" borderId="1" xfId="5" applyFont="1" applyFill="1" applyBorder="1" applyAlignment="1">
      <alignment vertical="center" wrapText="1"/>
    </xf>
    <xf numFmtId="0" fontId="72" fillId="0" borderId="0" xfId="1" applyFont="1" applyFill="1" applyAlignment="1">
      <alignment horizontal="left"/>
    </xf>
    <xf numFmtId="0" fontId="29" fillId="0" borderId="3" xfId="5" applyFont="1" applyFill="1" applyBorder="1" applyAlignment="1">
      <alignment horizontal="center"/>
    </xf>
    <xf numFmtId="0" fontId="22" fillId="0" borderId="0" xfId="5" applyFont="1" applyFill="1" applyBorder="1" applyAlignment="1">
      <alignment horizontal="center"/>
    </xf>
    <xf numFmtId="0" fontId="29" fillId="0" borderId="3" xfId="5" applyFont="1" applyFill="1" applyBorder="1" applyAlignment="1">
      <alignment horizontal="center" wrapText="1"/>
    </xf>
    <xf numFmtId="0" fontId="25" fillId="0" borderId="6" xfId="5" applyFont="1" applyFill="1" applyBorder="1" applyAlignment="1">
      <alignment horizontal="center"/>
    </xf>
    <xf numFmtId="0" fontId="25" fillId="0" borderId="13" xfId="5" applyFont="1" applyFill="1" applyBorder="1" applyAlignment="1">
      <alignment horizontal="center"/>
    </xf>
    <xf numFmtId="0" fontId="3" fillId="0" borderId="0" xfId="5" applyFont="1" applyFill="1" applyAlignment="1">
      <alignment horizontal="left"/>
    </xf>
    <xf numFmtId="165" fontId="14" fillId="0" borderId="1" xfId="1" applyNumberFormat="1" applyFont="1" applyFill="1" applyBorder="1" applyAlignment="1">
      <alignment horizontal="center" vertical="center" wrapText="1"/>
    </xf>
    <xf numFmtId="3" fontId="30" fillId="0" borderId="1" xfId="5" applyNumberFormat="1" applyFont="1" applyFill="1" applyBorder="1" applyAlignment="1">
      <alignment horizontal="right" vertical="center"/>
    </xf>
    <xf numFmtId="3" fontId="30" fillId="0" borderId="1" xfId="5" applyNumberFormat="1" applyFont="1" applyFill="1" applyBorder="1"/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6" fillId="0" borderId="0" xfId="5" applyFill="1"/>
    <xf numFmtId="169" fontId="10" fillId="0" borderId="0" xfId="5" applyNumberFormat="1" applyFont="1" applyFill="1"/>
    <xf numFmtId="0" fontId="23" fillId="0" borderId="1" xfId="5" applyFont="1" applyFill="1" applyBorder="1" applyAlignment="1">
      <alignment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5" fillId="0" borderId="1" xfId="1" quotePrefix="1" applyFont="1" applyFill="1" applyBorder="1" applyAlignment="1">
      <alignment vertical="center"/>
    </xf>
    <xf numFmtId="3" fontId="16" fillId="0" borderId="29" xfId="14" applyNumberFormat="1" applyFont="1" applyFill="1" applyBorder="1" applyAlignment="1">
      <alignment horizontal="center" wrapText="1"/>
    </xf>
    <xf numFmtId="0" fontId="30" fillId="0" borderId="1" xfId="14" applyFont="1" applyFill="1" applyBorder="1" applyAlignment="1">
      <alignment horizontal="center" wrapText="1"/>
    </xf>
    <xf numFmtId="3" fontId="30" fillId="0" borderId="1" xfId="15" applyNumberFormat="1" applyFont="1" applyFill="1" applyBorder="1" applyAlignment="1">
      <alignment horizontal="center"/>
    </xf>
    <xf numFmtId="0" fontId="16" fillId="0" borderId="1" xfId="14" applyFont="1" applyFill="1" applyBorder="1" applyAlignment="1">
      <alignment horizontal="left" wrapText="1"/>
    </xf>
    <xf numFmtId="3" fontId="16" fillId="0" borderId="1" xfId="15" applyNumberFormat="1" applyFont="1" applyFill="1" applyBorder="1" applyAlignment="1">
      <alignment horizontal="center"/>
    </xf>
    <xf numFmtId="170" fontId="10" fillId="0" borderId="1" xfId="1" applyNumberFormat="1" applyFont="1" applyFill="1" applyBorder="1" applyAlignment="1">
      <alignment horizontal="center" vertical="center" wrapText="1"/>
    </xf>
    <xf numFmtId="171" fontId="37" fillId="0" borderId="0" xfId="1" applyNumberFormat="1" applyFont="1" applyFill="1"/>
    <xf numFmtId="0" fontId="26" fillId="0" borderId="1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6" fillId="0" borderId="0" xfId="5" applyFill="1"/>
    <xf numFmtId="0" fontId="30" fillId="2" borderId="14" xfId="10" applyFont="1" applyFill="1" applyBorder="1" applyAlignment="1">
      <alignment horizontal="center"/>
    </xf>
    <xf numFmtId="0" fontId="30" fillId="2" borderId="7" xfId="10" applyFont="1" applyFill="1" applyBorder="1" applyAlignment="1">
      <alignment horizontal="center"/>
    </xf>
    <xf numFmtId="0" fontId="30" fillId="2" borderId="15" xfId="10" applyFont="1" applyFill="1" applyBorder="1" applyAlignment="1">
      <alignment horizontal="center"/>
    </xf>
    <xf numFmtId="0" fontId="61" fillId="0" borderId="2" xfId="10" applyFont="1" applyBorder="1" applyAlignment="1">
      <alignment horizontal="center"/>
    </xf>
    <xf numFmtId="0" fontId="61" fillId="0" borderId="2" xfId="10" applyFont="1" applyFill="1" applyBorder="1" applyAlignment="1">
      <alignment horizontal="right" vertical="center"/>
    </xf>
    <xf numFmtId="0" fontId="31" fillId="0" borderId="18" xfId="10" applyFont="1" applyFill="1" applyBorder="1" applyAlignment="1">
      <alignment horizontal="center"/>
    </xf>
    <xf numFmtId="0" fontId="28" fillId="0" borderId="16" xfId="10" applyFont="1" applyFill="1" applyBorder="1"/>
    <xf numFmtId="3" fontId="28" fillId="0" borderId="16" xfId="10" applyNumberFormat="1" applyFont="1" applyFill="1" applyBorder="1" applyAlignment="1">
      <alignment horizontal="right"/>
    </xf>
    <xf numFmtId="1" fontId="15" fillId="0" borderId="1" xfId="1" applyNumberFormat="1" applyFont="1" applyFill="1" applyBorder="1" applyAlignment="1">
      <alignment vertical="center"/>
    </xf>
    <xf numFmtId="0" fontId="24" fillId="0" borderId="0" xfId="5" applyFont="1" applyFill="1" applyBorder="1" applyAlignment="1">
      <alignment horizontal="center" vertical="center"/>
    </xf>
    <xf numFmtId="3" fontId="10" fillId="2" borderId="1" xfId="5" applyNumberFormat="1" applyFont="1" applyFill="1" applyBorder="1" applyAlignment="1">
      <alignment horizontal="center" vertical="center" wrapText="1"/>
    </xf>
    <xf numFmtId="3" fontId="15" fillId="0" borderId="1" xfId="5" applyNumberFormat="1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6" fillId="0" borderId="0" xfId="5" applyFill="1"/>
    <xf numFmtId="0" fontId="29" fillId="0" borderId="6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6" fillId="0" borderId="0" xfId="5" applyFill="1"/>
    <xf numFmtId="0" fontId="21" fillId="0" borderId="9" xfId="5" applyFont="1" applyFill="1" applyBorder="1" applyAlignment="1">
      <alignment horizontal="center" vertical="center" wrapText="1"/>
    </xf>
    <xf numFmtId="0" fontId="6" fillId="0" borderId="0" xfId="5" applyFill="1" applyBorder="1" applyAlignment="1">
      <alignment horizontal="left"/>
    </xf>
    <xf numFmtId="0" fontId="12" fillId="0" borderId="13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 wrapText="1"/>
    </xf>
    <xf numFmtId="0" fontId="22" fillId="0" borderId="0" xfId="5" applyFont="1" applyFill="1" applyBorder="1" applyAlignment="1">
      <alignment horizontal="left"/>
    </xf>
    <xf numFmtId="0" fontId="8" fillId="0" borderId="6" xfId="1" applyFont="1" applyFill="1" applyBorder="1" applyAlignment="1">
      <alignment horizontal="center" vertical="center"/>
    </xf>
    <xf numFmtId="165" fontId="14" fillId="0" borderId="3" xfId="1" applyNumberFormat="1" applyFont="1" applyFill="1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 wrapText="1"/>
    </xf>
    <xf numFmtId="0" fontId="29" fillId="0" borderId="0" xfId="5" applyFont="1" applyFill="1" applyBorder="1" applyAlignment="1">
      <alignment horizontal="center" vertical="center" wrapText="1"/>
    </xf>
    <xf numFmtId="165" fontId="72" fillId="0" borderId="0" xfId="1" applyNumberFormat="1" applyFont="1" applyFill="1" applyBorder="1" applyAlignment="1">
      <alignment horizontal="left"/>
    </xf>
    <xf numFmtId="166" fontId="14" fillId="0" borderId="1" xfId="1" applyNumberFormat="1" applyFont="1" applyFill="1" applyBorder="1"/>
    <xf numFmtId="166" fontId="22" fillId="0" borderId="1" xfId="5" applyNumberFormat="1" applyFont="1" applyFill="1" applyBorder="1" applyAlignment="1">
      <alignment horizontal="center" vertical="center" wrapText="1"/>
    </xf>
    <xf numFmtId="0" fontId="29" fillId="0" borderId="13" xfId="5" applyFont="1" applyFill="1" applyBorder="1" applyAlignment="1">
      <alignment horizontal="center" vertical="center" wrapText="1"/>
    </xf>
    <xf numFmtId="0" fontId="28" fillId="0" borderId="6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/>
    </xf>
    <xf numFmtId="0" fontId="29" fillId="0" borderId="11" xfId="5" applyFont="1" applyFill="1" applyBorder="1" applyAlignment="1">
      <alignment horizontal="center"/>
    </xf>
    <xf numFmtId="0" fontId="29" fillId="0" borderId="31" xfId="5" applyFont="1" applyFill="1" applyBorder="1" applyAlignment="1">
      <alignment horizontal="center"/>
    </xf>
    <xf numFmtId="0" fontId="22" fillId="0" borderId="4" xfId="5" applyFont="1" applyFill="1" applyBorder="1"/>
    <xf numFmtId="0" fontId="22" fillId="0" borderId="9" xfId="5" applyFont="1" applyFill="1" applyBorder="1"/>
    <xf numFmtId="0" fontId="22" fillId="0" borderId="13" xfId="5" applyFont="1" applyFill="1" applyBorder="1"/>
    <xf numFmtId="0" fontId="21" fillId="0" borderId="3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>
      <alignment horizontal="center" vertical="center" wrapText="1"/>
    </xf>
    <xf numFmtId="0" fontId="10" fillId="0" borderId="9" xfId="5" applyFont="1" applyFill="1" applyBorder="1"/>
    <xf numFmtId="0" fontId="75" fillId="0" borderId="1" xfId="5" applyFont="1" applyFill="1" applyBorder="1" applyAlignment="1">
      <alignment horizontal="center" vertical="center"/>
    </xf>
    <xf numFmtId="3" fontId="16" fillId="0" borderId="8" xfId="10" applyNumberFormat="1" applyFont="1" applyFill="1" applyBorder="1" applyAlignment="1">
      <alignment horizontal="center"/>
    </xf>
    <xf numFmtId="0" fontId="16" fillId="2" borderId="0" xfId="10" applyFont="1" applyFill="1" applyBorder="1" applyAlignment="1">
      <alignment horizontal="center" wrapText="1"/>
    </xf>
    <xf numFmtId="0" fontId="16" fillId="2" borderId="21" xfId="10" applyFont="1" applyFill="1" applyBorder="1" applyAlignment="1">
      <alignment horizontal="right" wrapText="1"/>
    </xf>
    <xf numFmtId="0" fontId="51" fillId="2" borderId="23" xfId="10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>
      <alignment horizontal="center" wrapText="1"/>
    </xf>
    <xf numFmtId="0" fontId="21" fillId="0" borderId="8" xfId="5" applyFont="1" applyFill="1" applyBorder="1" applyAlignment="1">
      <alignment horizontal="center" vertical="center" wrapText="1"/>
    </xf>
    <xf numFmtId="0" fontId="10" fillId="0" borderId="10" xfId="5" applyFont="1" applyFill="1" applyBorder="1"/>
    <xf numFmtId="3" fontId="24" fillId="0" borderId="3" xfId="5" applyNumberFormat="1" applyFont="1" applyFill="1" applyBorder="1" applyAlignment="1">
      <alignment horizontal="center" vertical="center" wrapText="1"/>
    </xf>
    <xf numFmtId="3" fontId="21" fillId="0" borderId="3" xfId="5" applyNumberFormat="1" applyFont="1" applyFill="1" applyBorder="1" applyAlignment="1">
      <alignment horizontal="center" vertical="center" wrapText="1"/>
    </xf>
    <xf numFmtId="3" fontId="22" fillId="0" borderId="3" xfId="5" applyNumberFormat="1" applyFont="1" applyFill="1" applyBorder="1" applyAlignment="1">
      <alignment horizontal="center" vertical="center" wrapText="1"/>
    </xf>
    <xf numFmtId="3" fontId="30" fillId="0" borderId="3" xfId="5" applyNumberFormat="1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0" fillId="0" borderId="27" xfId="5" applyFont="1" applyFill="1" applyBorder="1"/>
    <xf numFmtId="0" fontId="23" fillId="0" borderId="1" xfId="5" applyFont="1" applyFill="1" applyBorder="1" applyAlignment="1">
      <alignment horizontal="center" vertical="center"/>
    </xf>
    <xf numFmtId="3" fontId="9" fillId="0" borderId="1" xfId="5" applyNumberFormat="1" applyFont="1" applyFill="1" applyBorder="1" applyAlignment="1">
      <alignment horizontal="right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6" fillId="0" borderId="9" xfId="5" applyFill="1" applyBorder="1"/>
    <xf numFmtId="0" fontId="22" fillId="0" borderId="0" xfId="5" applyFont="1" applyFill="1" applyBorder="1"/>
    <xf numFmtId="0" fontId="26" fillId="0" borderId="6" xfId="5" applyFont="1" applyFill="1" applyBorder="1" applyAlignment="1">
      <alignment horizontal="center" vertical="center" wrapText="1"/>
    </xf>
    <xf numFmtId="0" fontId="22" fillId="0" borderId="26" xfId="5" applyFont="1" applyFill="1" applyBorder="1"/>
    <xf numFmtId="0" fontId="26" fillId="0" borderId="26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3" fontId="16" fillId="0" borderId="1" xfId="5" applyNumberFormat="1" applyFont="1" applyFill="1" applyBorder="1"/>
    <xf numFmtId="3" fontId="16" fillId="0" borderId="6" xfId="5" applyNumberFormat="1" applyFont="1" applyFill="1" applyBorder="1"/>
    <xf numFmtId="3" fontId="23" fillId="0" borderId="1" xfId="5" applyNumberFormat="1" applyFont="1" applyFill="1" applyBorder="1" applyAlignment="1">
      <alignment horizontal="center" vertical="center" wrapText="1"/>
    </xf>
    <xf numFmtId="3" fontId="16" fillId="0" borderId="1" xfId="5" applyNumberFormat="1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3" fontId="76" fillId="0" borderId="1" xfId="5" applyNumberFormat="1" applyFont="1" applyFill="1" applyBorder="1"/>
    <xf numFmtId="0" fontId="19" fillId="0" borderId="6" xfId="5" applyFont="1" applyFill="1" applyBorder="1" applyAlignment="1">
      <alignment horizontal="center" wrapText="1"/>
    </xf>
    <xf numFmtId="0" fontId="19" fillId="0" borderId="27" xfId="5" applyFont="1" applyFill="1" applyBorder="1" applyAlignment="1">
      <alignment horizontal="center"/>
    </xf>
    <xf numFmtId="0" fontId="19" fillId="0" borderId="13" xfId="5" applyFont="1" applyFill="1" applyBorder="1" applyAlignment="1">
      <alignment horizontal="center"/>
    </xf>
    <xf numFmtId="0" fontId="6" fillId="0" borderId="26" xfId="5" applyFill="1" applyBorder="1"/>
    <xf numFmtId="3" fontId="18" fillId="0" borderId="1" xfId="5" applyNumberFormat="1" applyFont="1" applyFill="1" applyBorder="1" applyAlignment="1">
      <alignment vertical="center"/>
    </xf>
    <xf numFmtId="0" fontId="29" fillId="0" borderId="6" xfId="5" applyFont="1" applyFill="1" applyBorder="1" applyAlignment="1">
      <alignment horizontal="center" wrapText="1"/>
    </xf>
    <xf numFmtId="0" fontId="29" fillId="0" borderId="27" xfId="5" applyFont="1" applyFill="1" applyBorder="1" applyAlignment="1">
      <alignment horizontal="center" wrapText="1"/>
    </xf>
    <xf numFmtId="0" fontId="29" fillId="0" borderId="13" xfId="5" applyFont="1" applyFill="1" applyBorder="1" applyAlignment="1">
      <alignment horizontal="center" wrapText="1"/>
    </xf>
    <xf numFmtId="0" fontId="44" fillId="0" borderId="1" xfId="12" applyBorder="1"/>
    <xf numFmtId="3" fontId="44" fillId="0" borderId="1" xfId="12" applyNumberFormat="1" applyBorder="1"/>
    <xf numFmtId="0" fontId="30" fillId="0" borderId="36" xfId="10" applyFont="1" applyFill="1" applyBorder="1" applyAlignment="1">
      <alignment horizontal="center"/>
    </xf>
    <xf numFmtId="0" fontId="30" fillId="0" borderId="5" xfId="10" applyFont="1" applyFill="1" applyBorder="1" applyAlignment="1">
      <alignment horizontal="center"/>
    </xf>
    <xf numFmtId="3" fontId="16" fillId="0" borderId="13" xfId="15" applyNumberFormat="1" applyFont="1" applyFill="1" applyBorder="1" applyAlignment="1">
      <alignment horizontal="center" wrapText="1"/>
    </xf>
    <xf numFmtId="3" fontId="16" fillId="0" borderId="13" xfId="10" applyNumberFormat="1" applyFont="1" applyFill="1" applyBorder="1" applyAlignment="1" applyProtection="1">
      <alignment horizontal="center" wrapText="1"/>
      <protection locked="0"/>
    </xf>
    <xf numFmtId="3" fontId="16" fillId="0" borderId="13" xfId="10" applyNumberFormat="1" applyFont="1" applyFill="1" applyBorder="1" applyAlignment="1" applyProtection="1">
      <alignment horizontal="center" vertical="center" wrapText="1"/>
      <protection locked="0"/>
    </xf>
    <xf numFmtId="3" fontId="16" fillId="0" borderId="13" xfId="10" applyNumberFormat="1" applyFont="1" applyBorder="1" applyAlignment="1">
      <alignment horizontal="center" wrapText="1"/>
    </xf>
    <xf numFmtId="3" fontId="30" fillId="0" borderId="13" xfId="15" applyNumberFormat="1" applyFont="1" applyFill="1" applyBorder="1" applyAlignment="1">
      <alignment horizontal="center" wrapText="1"/>
    </xf>
    <xf numFmtId="3" fontId="16" fillId="0" borderId="13" xfId="15" applyNumberFormat="1" applyFont="1" applyFill="1" applyBorder="1" applyAlignment="1">
      <alignment horizontal="left" wrapText="1"/>
    </xf>
    <xf numFmtId="3" fontId="30" fillId="0" borderId="37" xfId="15" applyNumberFormat="1" applyFont="1" applyFill="1" applyBorder="1" applyAlignment="1">
      <alignment horizontal="center" wrapText="1"/>
    </xf>
    <xf numFmtId="0" fontId="29" fillId="0" borderId="32" xfId="5" applyFont="1" applyFill="1" applyBorder="1" applyAlignment="1">
      <alignment horizontal="center" vertical="center" wrapText="1"/>
    </xf>
    <xf numFmtId="0" fontId="30" fillId="0" borderId="33" xfId="10" applyFont="1" applyFill="1" applyBorder="1" applyAlignment="1">
      <alignment horizontal="center"/>
    </xf>
    <xf numFmtId="3" fontId="16" fillId="0" borderId="33" xfId="10" applyNumberFormat="1" applyFont="1" applyFill="1" applyBorder="1" applyAlignment="1">
      <alignment horizontal="right"/>
    </xf>
    <xf numFmtId="3" fontId="16" fillId="0" borderId="35" xfId="10" applyNumberFormat="1" applyFont="1" applyFill="1" applyBorder="1" applyAlignment="1">
      <alignment horizontal="right"/>
    </xf>
    <xf numFmtId="3" fontId="30" fillId="0" borderId="32" xfId="15" applyNumberFormat="1" applyFont="1" applyFill="1" applyBorder="1" applyAlignment="1">
      <alignment horizontal="center" wrapText="1"/>
    </xf>
    <xf numFmtId="3" fontId="30" fillId="0" borderId="34" xfId="15" applyNumberFormat="1" applyFont="1" applyFill="1" applyBorder="1" applyAlignment="1">
      <alignment horizontal="center" wrapText="1"/>
    </xf>
    <xf numFmtId="0" fontId="30" fillId="2" borderId="36" xfId="10" applyFont="1" applyFill="1" applyBorder="1" applyAlignment="1">
      <alignment horizontal="center"/>
    </xf>
    <xf numFmtId="3" fontId="28" fillId="0" borderId="6" xfId="10" applyNumberFormat="1" applyFont="1" applyBorder="1" applyAlignment="1">
      <alignment horizontal="center"/>
    </xf>
    <xf numFmtId="3" fontId="28" fillId="0" borderId="37" xfId="10" applyNumberFormat="1" applyFont="1" applyFill="1" applyBorder="1" applyAlignment="1">
      <alignment horizontal="right"/>
    </xf>
    <xf numFmtId="3" fontId="31" fillId="0" borderId="33" xfId="10" applyNumberFormat="1" applyFont="1" applyBorder="1" applyAlignment="1">
      <alignment horizontal="center"/>
    </xf>
    <xf numFmtId="3" fontId="61" fillId="0" borderId="1" xfId="10" applyNumberFormat="1" applyFont="1" applyFill="1" applyBorder="1" applyAlignment="1">
      <alignment horizontal="center"/>
    </xf>
    <xf numFmtId="3" fontId="31" fillId="0" borderId="6" xfId="10" applyNumberFormat="1" applyFont="1" applyBorder="1" applyAlignment="1">
      <alignment horizontal="center"/>
    </xf>
    <xf numFmtId="3" fontId="31" fillId="0" borderId="1" xfId="10" applyNumberFormat="1" applyFont="1" applyFill="1" applyBorder="1" applyAlignment="1">
      <alignment horizontal="center"/>
    </xf>
    <xf numFmtId="0" fontId="30" fillId="2" borderId="32" xfId="10" applyFont="1" applyFill="1" applyBorder="1" applyAlignment="1">
      <alignment horizontal="center"/>
    </xf>
    <xf numFmtId="0" fontId="16" fillId="2" borderId="0" xfId="10" applyFont="1" applyFill="1" applyBorder="1" applyAlignment="1">
      <alignment horizontal="right"/>
    </xf>
    <xf numFmtId="49" fontId="9" fillId="0" borderId="14" xfId="12" applyNumberFormat="1" applyFont="1" applyBorder="1" applyAlignment="1">
      <alignment horizontal="center" vertical="center"/>
    </xf>
    <xf numFmtId="0" fontId="9" fillId="0" borderId="7" xfId="12" applyFont="1" applyBorder="1" applyAlignment="1">
      <alignment horizontal="center" vertical="center"/>
    </xf>
    <xf numFmtId="3" fontId="9" fillId="0" borderId="7" xfId="12" applyNumberFormat="1" applyFont="1" applyBorder="1" applyAlignment="1">
      <alignment horizontal="center" vertical="center"/>
    </xf>
    <xf numFmtId="165" fontId="9" fillId="0" borderId="7" xfId="12" applyNumberFormat="1" applyFont="1" applyBorder="1" applyAlignment="1">
      <alignment horizontal="center" vertical="center"/>
    </xf>
    <xf numFmtId="49" fontId="9" fillId="0" borderId="2" xfId="12" applyNumberFormat="1" applyFont="1" applyBorder="1" applyAlignment="1">
      <alignment horizontal="center" vertical="center" wrapText="1"/>
    </xf>
    <xf numFmtId="49" fontId="9" fillId="0" borderId="2" xfId="12" applyNumberFormat="1" applyFont="1" applyBorder="1" applyAlignment="1">
      <alignment horizontal="center"/>
    </xf>
    <xf numFmtId="49" fontId="9" fillId="0" borderId="18" xfId="12" applyNumberFormat="1" applyFont="1" applyBorder="1" applyAlignment="1">
      <alignment horizontal="center"/>
    </xf>
    <xf numFmtId="0" fontId="9" fillId="0" borderId="16" xfId="12" applyFont="1" applyBorder="1" applyAlignment="1">
      <alignment wrapText="1"/>
    </xf>
    <xf numFmtId="3" fontId="9" fillId="0" borderId="16" xfId="12" applyNumberFormat="1" applyFont="1" applyBorder="1"/>
    <xf numFmtId="0" fontId="45" fillId="0" borderId="7" xfId="12" applyFont="1" applyBorder="1" applyAlignment="1">
      <alignment horizontal="center"/>
    </xf>
    <xf numFmtId="49" fontId="9" fillId="0" borderId="14" xfId="12" applyNumberFormat="1" applyFont="1" applyBorder="1" applyAlignment="1">
      <alignment horizontal="center"/>
    </xf>
    <xf numFmtId="0" fontId="9" fillId="0" borderId="7" xfId="12" applyFont="1" applyBorder="1" applyAlignment="1">
      <alignment horizontal="center"/>
    </xf>
    <xf numFmtId="165" fontId="9" fillId="0" borderId="7" xfId="12" applyNumberFormat="1" applyFont="1" applyBorder="1" applyAlignment="1">
      <alignment horizontal="center"/>
    </xf>
    <xf numFmtId="0" fontId="9" fillId="0" borderId="16" xfId="12" applyFont="1" applyBorder="1"/>
    <xf numFmtId="0" fontId="43" fillId="0" borderId="7" xfId="12" applyFont="1" applyBorder="1" applyAlignment="1">
      <alignment horizontal="center"/>
    </xf>
    <xf numFmtId="0" fontId="29" fillId="0" borderId="1" xfId="19" applyFont="1" applyFill="1" applyBorder="1" applyAlignment="1">
      <alignment horizontal="center" vertical="center" wrapText="1"/>
    </xf>
    <xf numFmtId="0" fontId="43" fillId="0" borderId="1" xfId="12" applyFont="1" applyBorder="1"/>
    <xf numFmtId="10" fontId="44" fillId="0" borderId="1" xfId="12" applyNumberFormat="1" applyBorder="1"/>
    <xf numFmtId="10" fontId="45" fillId="0" borderId="16" xfId="12" applyNumberFormat="1" applyFont="1" applyBorder="1"/>
    <xf numFmtId="10" fontId="45" fillId="0" borderId="1" xfId="12" applyNumberFormat="1" applyFont="1" applyBorder="1"/>
    <xf numFmtId="0" fontId="14" fillId="0" borderId="1" xfId="1" applyNumberFormat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165" fontId="14" fillId="0" borderId="8" xfId="1" applyNumberFormat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0" fillId="0" borderId="10" xfId="1" applyFont="1" applyFill="1" applyBorder="1"/>
    <xf numFmtId="0" fontId="14" fillId="0" borderId="9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4" fillId="0" borderId="6" xfId="1" applyNumberFormat="1" applyFont="1" applyFill="1" applyBorder="1" applyAlignment="1">
      <alignment horizontal="center" vertical="center"/>
    </xf>
    <xf numFmtId="0" fontId="10" fillId="0" borderId="26" xfId="1" applyFont="1" applyFill="1" applyBorder="1"/>
    <xf numFmtId="0" fontId="1" fillId="0" borderId="0" xfId="5" applyFont="1" applyFill="1"/>
    <xf numFmtId="167" fontId="30" fillId="0" borderId="1" xfId="16" applyNumberFormat="1" applyFont="1" applyFill="1" applyBorder="1" applyAlignment="1">
      <alignment horizontal="left"/>
    </xf>
    <xf numFmtId="3" fontId="22" fillId="0" borderId="1" xfId="16" applyNumberFormat="1" applyFont="1" applyFill="1" applyBorder="1" applyAlignment="1">
      <alignment horizontal="center" wrapText="1"/>
    </xf>
    <xf numFmtId="0" fontId="22" fillId="0" borderId="1" xfId="10" applyFont="1" applyBorder="1" applyAlignment="1">
      <alignment wrapText="1"/>
    </xf>
    <xf numFmtId="0" fontId="16" fillId="0" borderId="1" xfId="10" applyFont="1" applyBorder="1"/>
    <xf numFmtId="3" fontId="30" fillId="0" borderId="1" xfId="10" applyNumberFormat="1" applyFont="1" applyBorder="1"/>
    <xf numFmtId="0" fontId="15" fillId="0" borderId="1" xfId="0" applyFont="1" applyBorder="1"/>
    <xf numFmtId="0" fontId="29" fillId="0" borderId="12" xfId="5" applyFont="1" applyFill="1" applyBorder="1" applyAlignment="1">
      <alignment horizontal="center" vertical="center" wrapText="1"/>
    </xf>
    <xf numFmtId="0" fontId="16" fillId="0" borderId="12" xfId="10" applyFont="1" applyBorder="1"/>
    <xf numFmtId="3" fontId="16" fillId="0" borderId="12" xfId="10" applyNumberFormat="1" applyFont="1" applyFill="1" applyBorder="1"/>
    <xf numFmtId="3" fontId="30" fillId="0" borderId="12" xfId="10" applyNumberFormat="1" applyFont="1" applyBorder="1"/>
    <xf numFmtId="3" fontId="16" fillId="0" borderId="12" xfId="10" applyNumberFormat="1" applyFont="1" applyBorder="1"/>
    <xf numFmtId="0" fontId="71" fillId="0" borderId="0" xfId="12" applyFont="1" applyAlignment="1">
      <alignment horizontal="center" vertical="center" wrapText="1"/>
    </xf>
    <xf numFmtId="0" fontId="47" fillId="0" borderId="0" xfId="12" applyFont="1" applyAlignment="1">
      <alignment horizontal="left"/>
    </xf>
    <xf numFmtId="49" fontId="9" fillId="0" borderId="0" xfId="12" applyNumberFormat="1" applyFont="1" applyAlignment="1">
      <alignment horizontal="center"/>
    </xf>
    <xf numFmtId="49" fontId="9" fillId="0" borderId="0" xfId="12" applyNumberFormat="1" applyFont="1" applyAlignment="1">
      <alignment horizontal="center" vertical="center"/>
    </xf>
    <xf numFmtId="165" fontId="14" fillId="0" borderId="5" xfId="1" applyNumberFormat="1" applyFont="1" applyFill="1" applyBorder="1" applyAlignment="1">
      <alignment horizontal="center" vertical="center" wrapText="1"/>
    </xf>
    <xf numFmtId="165" fontId="14" fillId="0" borderId="8" xfId="1" applyNumberFormat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21" fillId="0" borderId="8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wrapText="1"/>
    </xf>
    <xf numFmtId="0" fontId="21" fillId="0" borderId="13" xfId="5" applyFont="1" applyFill="1" applyBorder="1" applyAlignment="1">
      <alignment horizontal="center" wrapText="1"/>
    </xf>
    <xf numFmtId="0" fontId="10" fillId="0" borderId="0" xfId="5" applyFont="1" applyFill="1" applyBorder="1" applyAlignment="1">
      <alignment horizontal="right"/>
    </xf>
    <xf numFmtId="0" fontId="19" fillId="0" borderId="0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vertical="center"/>
    </xf>
    <xf numFmtId="0" fontId="21" fillId="0" borderId="13" xfId="5" applyFont="1" applyFill="1" applyBorder="1" applyAlignment="1">
      <alignment horizontal="center" vertical="center"/>
    </xf>
    <xf numFmtId="0" fontId="21" fillId="0" borderId="28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/>
    </xf>
    <xf numFmtId="0" fontId="6" fillId="0" borderId="0" xfId="5" applyFill="1" applyBorder="1" applyAlignment="1">
      <alignment horizontal="left"/>
    </xf>
    <xf numFmtId="0" fontId="19" fillId="0" borderId="28" xfId="5" applyFont="1" applyFill="1" applyBorder="1" applyAlignment="1">
      <alignment horizontal="center"/>
    </xf>
    <xf numFmtId="0" fontId="19" fillId="0" borderId="27" xfId="5" applyFont="1" applyFill="1" applyBorder="1" applyAlignment="1">
      <alignment horizontal="center"/>
    </xf>
    <xf numFmtId="0" fontId="19" fillId="0" borderId="6" xfId="5" applyFont="1" applyFill="1" applyBorder="1" applyAlignment="1">
      <alignment horizontal="center"/>
    </xf>
    <xf numFmtId="0" fontId="19" fillId="0" borderId="13" xfId="5" applyFont="1" applyFill="1" applyBorder="1" applyAlignment="1">
      <alignment horizontal="center"/>
    </xf>
    <xf numFmtId="0" fontId="21" fillId="0" borderId="9" xfId="5" applyFont="1" applyFill="1" applyBorder="1" applyAlignment="1">
      <alignment horizontal="center" vertical="center" wrapText="1"/>
    </xf>
    <xf numFmtId="0" fontId="22" fillId="0" borderId="0" xfId="5" applyFont="1" applyFill="1" applyAlignment="1">
      <alignment horizontal="left"/>
    </xf>
    <xf numFmtId="0" fontId="26" fillId="0" borderId="9" xfId="5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right"/>
    </xf>
    <xf numFmtId="0" fontId="29" fillId="0" borderId="6" xfId="5" applyFont="1" applyFill="1" applyBorder="1" applyAlignment="1">
      <alignment horizontal="center" vertical="center" wrapText="1"/>
    </xf>
    <xf numFmtId="0" fontId="29" fillId="0" borderId="13" xfId="5" applyFont="1" applyFill="1" applyBorder="1" applyAlignment="1">
      <alignment horizontal="center" vertical="center" wrapText="1"/>
    </xf>
    <xf numFmtId="0" fontId="29" fillId="0" borderId="30" xfId="5" applyFont="1" applyFill="1" applyBorder="1" applyAlignment="1">
      <alignment horizontal="center"/>
    </xf>
    <xf numFmtId="0" fontId="29" fillId="0" borderId="11" xfId="5" applyFont="1" applyFill="1" applyBorder="1" applyAlignment="1">
      <alignment horizontal="center"/>
    </xf>
    <xf numFmtId="0" fontId="22" fillId="0" borderId="8" xfId="5" applyFont="1" applyFill="1" applyBorder="1" applyAlignment="1"/>
    <xf numFmtId="0" fontId="12" fillId="0" borderId="13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/>
    </xf>
    <xf numFmtId="0" fontId="14" fillId="0" borderId="5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/>
    </xf>
    <xf numFmtId="0" fontId="12" fillId="0" borderId="13" xfId="5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/>
    </xf>
    <xf numFmtId="0" fontId="26" fillId="0" borderId="0" xfId="5" applyFont="1" applyFill="1" applyBorder="1" applyAlignment="1">
      <alignment horizontal="center" vertical="center" wrapText="1"/>
    </xf>
    <xf numFmtId="0" fontId="14" fillId="0" borderId="6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29" fillId="0" borderId="13" xfId="5" applyFont="1" applyFill="1" applyBorder="1" applyAlignment="1">
      <alignment horizontal="center" vertical="center"/>
    </xf>
    <xf numFmtId="0" fontId="26" fillId="0" borderId="28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0" fontId="29" fillId="0" borderId="6" xfId="5" applyFont="1" applyFill="1" applyBorder="1" applyAlignment="1">
      <alignment horizontal="center" vertical="center"/>
    </xf>
    <xf numFmtId="0" fontId="29" fillId="0" borderId="28" xfId="5" applyFont="1" applyFill="1" applyBorder="1" applyAlignment="1">
      <alignment horizontal="center" wrapText="1"/>
    </xf>
    <xf numFmtId="0" fontId="29" fillId="0" borderId="27" xfId="5" applyFont="1" applyFill="1" applyBorder="1" applyAlignment="1">
      <alignment horizontal="center" wrapText="1"/>
    </xf>
    <xf numFmtId="0" fontId="29" fillId="0" borderId="6" xfId="5" applyFont="1" applyFill="1" applyBorder="1" applyAlignment="1">
      <alignment horizontal="center" wrapText="1"/>
    </xf>
    <xf numFmtId="0" fontId="29" fillId="0" borderId="13" xfId="5" applyFont="1" applyFill="1" applyBorder="1" applyAlignment="1">
      <alignment horizontal="center" wrapText="1"/>
    </xf>
    <xf numFmtId="3" fontId="16" fillId="0" borderId="28" xfId="10" applyNumberFormat="1" applyFont="1" applyFill="1" applyBorder="1" applyAlignment="1">
      <alignment horizontal="center"/>
    </xf>
    <xf numFmtId="3" fontId="16" fillId="0" borderId="27" xfId="10" applyNumberFormat="1" applyFont="1" applyFill="1" applyBorder="1" applyAlignment="1">
      <alignment horizontal="center"/>
    </xf>
    <xf numFmtId="3" fontId="16" fillId="0" borderId="26" xfId="10" applyNumberFormat="1" applyFont="1" applyFill="1" applyBorder="1" applyAlignment="1">
      <alignment horizontal="center"/>
    </xf>
    <xf numFmtId="3" fontId="16" fillId="0" borderId="5" xfId="10" applyNumberFormat="1" applyFont="1" applyFill="1" applyBorder="1" applyAlignment="1">
      <alignment horizontal="center"/>
    </xf>
    <xf numFmtId="3" fontId="16" fillId="0" borderId="8" xfId="10" applyNumberFormat="1" applyFont="1" applyFill="1" applyBorder="1" applyAlignment="1">
      <alignment horizontal="center"/>
    </xf>
    <xf numFmtId="3" fontId="16" fillId="0" borderId="10" xfId="10" applyNumberFormat="1" applyFont="1" applyFill="1" applyBorder="1" applyAlignment="1">
      <alignment horizontal="center"/>
    </xf>
    <xf numFmtId="0" fontId="16" fillId="2" borderId="25" xfId="10" applyFont="1" applyFill="1" applyBorder="1" applyAlignment="1">
      <alignment horizontal="right"/>
    </xf>
    <xf numFmtId="3" fontId="16" fillId="0" borderId="14" xfId="10" applyNumberFormat="1" applyFont="1" applyFill="1" applyBorder="1" applyAlignment="1">
      <alignment vertical="center"/>
    </xf>
    <xf numFmtId="3" fontId="16" fillId="0" borderId="2" xfId="10" applyNumberFormat="1" applyFont="1" applyFill="1" applyBorder="1" applyAlignment="1">
      <alignment vertical="center"/>
    </xf>
    <xf numFmtId="3" fontId="30" fillId="0" borderId="7" xfId="10" applyNumberFormat="1" applyFont="1" applyFill="1" applyBorder="1" applyAlignment="1">
      <alignment horizontal="center"/>
    </xf>
    <xf numFmtId="3" fontId="30" fillId="0" borderId="15" xfId="10" applyNumberFormat="1" applyFont="1" applyFill="1" applyBorder="1" applyAlignment="1">
      <alignment horizontal="center"/>
    </xf>
    <xf numFmtId="0" fontId="16" fillId="2" borderId="19" xfId="10" applyFont="1" applyFill="1" applyBorder="1" applyAlignment="1">
      <alignment horizontal="center" wrapText="1"/>
    </xf>
    <xf numFmtId="0" fontId="16" fillId="2" borderId="0" xfId="10" applyFont="1" applyFill="1" applyBorder="1" applyAlignment="1">
      <alignment horizontal="center" wrapText="1"/>
    </xf>
    <xf numFmtId="0" fontId="16" fillId="2" borderId="20" xfId="10" applyFont="1" applyFill="1" applyBorder="1" applyAlignment="1">
      <alignment horizontal="right" wrapText="1"/>
    </xf>
    <xf numFmtId="0" fontId="16" fillId="2" borderId="21" xfId="10" applyFont="1" applyFill="1" applyBorder="1" applyAlignment="1">
      <alignment horizontal="right" wrapText="1"/>
    </xf>
    <xf numFmtId="0" fontId="51" fillId="2" borderId="22" xfId="10" applyFont="1" applyFill="1" applyBorder="1" applyAlignment="1">
      <alignment horizontal="center" wrapText="1"/>
    </xf>
    <xf numFmtId="0" fontId="51" fillId="2" borderId="23" xfId="10" applyFont="1" applyFill="1" applyBorder="1" applyAlignment="1">
      <alignment horizontal="center" wrapText="1"/>
    </xf>
    <xf numFmtId="0" fontId="16" fillId="2" borderId="20" xfId="10" applyFont="1" applyFill="1" applyBorder="1" applyAlignment="1">
      <alignment horizontal="center" wrapText="1"/>
    </xf>
    <xf numFmtId="0" fontId="16" fillId="2" borderId="21" xfId="10" applyFont="1" applyFill="1" applyBorder="1" applyAlignment="1">
      <alignment horizontal="center" wrapText="1"/>
    </xf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7" xr:uid="{00000000-0005-0000-0000-000009000000}"/>
    <cellStyle name="Normál 4 3" xfId="19" xr:uid="{51D2F2A3-3C6C-4D8E-9015-578ED00915DB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8" xr:uid="{00000000-0005-0000-0000-00000D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4699-3D52-4023-97D0-29C3BC48D5D7}">
  <sheetPr>
    <pageSetUpPr fitToPage="1"/>
  </sheetPr>
  <dimension ref="A1:K74"/>
  <sheetViews>
    <sheetView zoomScale="84" zoomScaleNormal="84" workbookViewId="0">
      <selection activeCell="O13" sqref="O13"/>
    </sheetView>
  </sheetViews>
  <sheetFormatPr defaultColWidth="9.140625" defaultRowHeight="12.75" x14ac:dyDescent="0.2"/>
  <cols>
    <col min="1" max="1" width="9.140625" style="135"/>
    <col min="2" max="2" width="52.42578125" style="135" customWidth="1"/>
    <col min="3" max="3" width="18.5703125" style="135" customWidth="1"/>
    <col min="4" max="4" width="15" style="135" customWidth="1"/>
    <col min="5" max="5" width="11.140625" style="135" bestFit="1" customWidth="1"/>
    <col min="6" max="6" width="12.28515625" style="135" customWidth="1"/>
    <col min="7" max="7" width="12" style="135" customWidth="1"/>
    <col min="8" max="8" width="3.85546875" style="135" customWidth="1"/>
    <col min="9" max="9" width="4.85546875" style="135" customWidth="1"/>
    <col min="10" max="16384" width="9.140625" style="135"/>
  </cols>
  <sheetData>
    <row r="1" spans="1:11" ht="63" customHeight="1" x14ac:dyDescent="0.25">
      <c r="A1" s="155"/>
      <c r="B1" s="503" t="s">
        <v>388</v>
      </c>
      <c r="C1" s="503"/>
      <c r="D1" s="503"/>
      <c r="E1" s="301"/>
      <c r="F1" s="301"/>
      <c r="G1" s="154"/>
      <c r="H1" s="154"/>
      <c r="I1" s="154"/>
      <c r="J1" s="154"/>
      <c r="K1" s="154"/>
    </row>
    <row r="2" spans="1:11" ht="15" x14ac:dyDescent="0.25">
      <c r="A2" s="504" t="s">
        <v>363</v>
      </c>
      <c r="B2" s="504"/>
      <c r="C2" s="504"/>
      <c r="D2" s="504"/>
    </row>
    <row r="3" spans="1:11" ht="13.5" thickBot="1" x14ac:dyDescent="0.25">
      <c r="D3" s="297" t="s">
        <v>260</v>
      </c>
    </row>
    <row r="4" spans="1:11" x14ac:dyDescent="0.2">
      <c r="A4" s="462" t="s">
        <v>53</v>
      </c>
      <c r="B4" s="463" t="s">
        <v>61</v>
      </c>
      <c r="C4" s="464" t="s">
        <v>54</v>
      </c>
      <c r="D4" s="465" t="s">
        <v>55</v>
      </c>
      <c r="E4" s="471" t="s">
        <v>56</v>
      </c>
      <c r="F4" s="471" t="s">
        <v>63</v>
      </c>
    </row>
    <row r="5" spans="1:11" ht="39.75" customHeight="1" x14ac:dyDescent="0.2">
      <c r="A5" s="466" t="s">
        <v>2</v>
      </c>
      <c r="B5" s="153" t="s">
        <v>0</v>
      </c>
      <c r="C5" s="152" t="s">
        <v>364</v>
      </c>
      <c r="D5" s="152" t="s">
        <v>365</v>
      </c>
      <c r="E5" s="477" t="s">
        <v>405</v>
      </c>
      <c r="F5" s="478" t="s">
        <v>415</v>
      </c>
    </row>
    <row r="6" spans="1:11" x14ac:dyDescent="0.2">
      <c r="A6" s="467" t="s">
        <v>1</v>
      </c>
      <c r="B6" s="147" t="s">
        <v>5</v>
      </c>
      <c r="C6" s="146">
        <f>SUM(C7:C13)</f>
        <v>632212121</v>
      </c>
      <c r="D6" s="146">
        <f>SUM(D7:D13)</f>
        <v>644798021</v>
      </c>
      <c r="E6" s="146">
        <f>SUM(E7:E13)</f>
        <v>335909448</v>
      </c>
      <c r="F6" s="479">
        <f t="shared" ref="F6:F12" si="0">E6/D6</f>
        <v>0.5209529760638022</v>
      </c>
    </row>
    <row r="7" spans="1:11" ht="21" customHeight="1" x14ac:dyDescent="0.2">
      <c r="A7" s="467" t="s">
        <v>3</v>
      </c>
      <c r="B7" s="151" t="s">
        <v>259</v>
      </c>
      <c r="C7" s="145">
        <v>161898630</v>
      </c>
      <c r="D7" s="145">
        <f>C7</f>
        <v>161898630</v>
      </c>
      <c r="E7" s="437">
        <v>84187286</v>
      </c>
      <c r="F7" s="479">
        <f t="shared" si="0"/>
        <v>0.51999999011727271</v>
      </c>
    </row>
    <row r="8" spans="1:11" x14ac:dyDescent="0.2">
      <c r="A8" s="467" t="s">
        <v>4</v>
      </c>
      <c r="B8" s="144" t="s">
        <v>258</v>
      </c>
      <c r="C8" s="145">
        <v>125976110</v>
      </c>
      <c r="D8" s="145">
        <f>C8+1115300</f>
        <v>127091410</v>
      </c>
      <c r="E8" s="437">
        <v>65507578</v>
      </c>
      <c r="F8" s="479">
        <f t="shared" si="0"/>
        <v>0.51543670811426201</v>
      </c>
    </row>
    <row r="9" spans="1:11" x14ac:dyDescent="0.2">
      <c r="A9" s="467" t="s">
        <v>6</v>
      </c>
      <c r="B9" s="144" t="s">
        <v>257</v>
      </c>
      <c r="C9" s="145">
        <v>239714870</v>
      </c>
      <c r="D9" s="145">
        <f>C9+11470600</f>
        <v>251185470</v>
      </c>
      <c r="E9" s="437">
        <v>136925104</v>
      </c>
      <c r="F9" s="479">
        <f t="shared" si="0"/>
        <v>0.54511554350655711</v>
      </c>
    </row>
    <row r="10" spans="1:11" x14ac:dyDescent="0.2">
      <c r="A10" s="467" t="s">
        <v>8</v>
      </c>
      <c r="B10" s="144" t="s">
        <v>256</v>
      </c>
      <c r="C10" s="145">
        <v>52777165</v>
      </c>
      <c r="D10" s="145">
        <f>C10</f>
        <v>52777165</v>
      </c>
      <c r="E10" s="437">
        <v>26482748</v>
      </c>
      <c r="F10" s="479">
        <f t="shared" si="0"/>
        <v>0.50178420913665978</v>
      </c>
    </row>
    <row r="11" spans="1:11" x14ac:dyDescent="0.2">
      <c r="A11" s="467" t="s">
        <v>19</v>
      </c>
      <c r="B11" s="144" t="s">
        <v>255</v>
      </c>
      <c r="C11" s="145">
        <v>10611335</v>
      </c>
      <c r="D11" s="145">
        <f>C11</f>
        <v>10611335</v>
      </c>
      <c r="E11" s="437">
        <v>5517895</v>
      </c>
      <c r="F11" s="479">
        <f t="shared" si="0"/>
        <v>0.5200000753910794</v>
      </c>
    </row>
    <row r="12" spans="1:11" x14ac:dyDescent="0.2">
      <c r="A12" s="467" t="s">
        <v>21</v>
      </c>
      <c r="B12" s="144" t="s">
        <v>254</v>
      </c>
      <c r="C12" s="145">
        <f>3610011+37624000</f>
        <v>41234011</v>
      </c>
      <c r="D12" s="145">
        <f>C12</f>
        <v>41234011</v>
      </c>
      <c r="E12" s="437">
        <v>17288837</v>
      </c>
      <c r="F12" s="479">
        <f t="shared" si="0"/>
        <v>0.41928584148653403</v>
      </c>
    </row>
    <row r="13" spans="1:11" x14ac:dyDescent="0.2">
      <c r="A13" s="467" t="s">
        <v>22</v>
      </c>
      <c r="B13" s="144" t="s">
        <v>125</v>
      </c>
      <c r="C13" s="145"/>
      <c r="D13" s="145">
        <v>0</v>
      </c>
      <c r="E13" s="436"/>
      <c r="F13" s="479"/>
    </row>
    <row r="14" spans="1:11" x14ac:dyDescent="0.2">
      <c r="A14" s="467" t="s">
        <v>24</v>
      </c>
      <c r="B14" s="147" t="s">
        <v>11</v>
      </c>
      <c r="C14" s="146">
        <f>SUM(C15:C16)</f>
        <v>16845700</v>
      </c>
      <c r="D14" s="146">
        <f>SUM(D15:D16)</f>
        <v>51179902</v>
      </c>
      <c r="E14" s="146">
        <f>SUM(E15:E16)</f>
        <v>38954588</v>
      </c>
      <c r="F14" s="479">
        <f>E14/D14</f>
        <v>0.76113057035552745</v>
      </c>
    </row>
    <row r="15" spans="1:11" x14ac:dyDescent="0.2">
      <c r="A15" s="467" t="s">
        <v>25</v>
      </c>
      <c r="B15" s="144" t="s">
        <v>9</v>
      </c>
      <c r="C15" s="145"/>
      <c r="D15" s="145"/>
      <c r="E15" s="436"/>
      <c r="F15" s="479"/>
    </row>
    <row r="16" spans="1:11" x14ac:dyDescent="0.2">
      <c r="A16" s="467" t="s">
        <v>26</v>
      </c>
      <c r="B16" s="144" t="s">
        <v>188</v>
      </c>
      <c r="C16" s="145">
        <f>'2.melléklet.Önkormányzat.és int'!P44</f>
        <v>16845700</v>
      </c>
      <c r="D16" s="145">
        <f>'2.melléklet.Önkormányzat.és int'!Q44</f>
        <v>51179902</v>
      </c>
      <c r="E16" s="437">
        <f>'2.melléklet.Önkormányzat.és int'!R44</f>
        <v>38954588</v>
      </c>
      <c r="F16" s="479">
        <f>E16/D16</f>
        <v>0.76113057035552745</v>
      </c>
    </row>
    <row r="17" spans="1:6" x14ac:dyDescent="0.2">
      <c r="A17" s="467" t="s">
        <v>28</v>
      </c>
      <c r="B17" s="144" t="s">
        <v>10</v>
      </c>
      <c r="C17" s="145"/>
      <c r="D17" s="145"/>
      <c r="E17" s="436"/>
      <c r="F17" s="479"/>
    </row>
    <row r="18" spans="1:6" x14ac:dyDescent="0.2">
      <c r="A18" s="467" t="s">
        <v>29</v>
      </c>
      <c r="B18" s="147" t="s">
        <v>14</v>
      </c>
      <c r="C18" s="146">
        <f>SUM(C19:C20)</f>
        <v>30072300</v>
      </c>
      <c r="D18" s="146">
        <f>SUM(D19:D20)</f>
        <v>30072300</v>
      </c>
      <c r="E18" s="146">
        <f>SUM(E19:E20)</f>
        <v>26140585</v>
      </c>
      <c r="F18" s="479">
        <f>E18/D18</f>
        <v>0.86925792174193528</v>
      </c>
    </row>
    <row r="19" spans="1:6" x14ac:dyDescent="0.2">
      <c r="A19" s="467" t="s">
        <v>32</v>
      </c>
      <c r="B19" s="144" t="s">
        <v>330</v>
      </c>
      <c r="C19" s="145">
        <f>'2.melléklet.Önkormányzat.és int'!M44</f>
        <v>20000000</v>
      </c>
      <c r="D19" s="145">
        <f>'2.melléklet.Önkormányzat.és int'!N44</f>
        <v>20000000</v>
      </c>
      <c r="E19" s="437">
        <f>'2.melléklet.Önkormányzat.és int'!O44</f>
        <v>19999990</v>
      </c>
      <c r="F19" s="479">
        <f>E19/D19</f>
        <v>0.99999950000000004</v>
      </c>
    </row>
    <row r="20" spans="1:6" x14ac:dyDescent="0.2">
      <c r="A20" s="467" t="s">
        <v>34</v>
      </c>
      <c r="B20" s="144" t="s">
        <v>12</v>
      </c>
      <c r="C20" s="145">
        <f>'2.melléklet.Önkormányzat.és int'!V39</f>
        <v>10072300</v>
      </c>
      <c r="D20" s="145">
        <v>10072300</v>
      </c>
      <c r="E20" s="437">
        <f>'2.melléklet.Önkormányzat.és int'!X44</f>
        <v>6140595</v>
      </c>
      <c r="F20" s="479">
        <f>E20/D20</f>
        <v>0.60965171807829388</v>
      </c>
    </row>
    <row r="21" spans="1:6" x14ac:dyDescent="0.2">
      <c r="A21" s="467" t="s">
        <v>57</v>
      </c>
      <c r="B21" s="144" t="s">
        <v>13</v>
      </c>
      <c r="C21" s="145"/>
      <c r="D21" s="145"/>
      <c r="E21" s="436"/>
      <c r="F21" s="479"/>
    </row>
    <row r="22" spans="1:6" x14ac:dyDescent="0.2">
      <c r="A22" s="467" t="s">
        <v>36</v>
      </c>
      <c r="B22" s="147" t="s">
        <v>7</v>
      </c>
      <c r="C22" s="146">
        <f>C23+C26+C27+C24+C25</f>
        <v>106835000</v>
      </c>
      <c r="D22" s="146">
        <f>D23+D26+D27+D24+D25</f>
        <v>106835000</v>
      </c>
      <c r="E22" s="146">
        <f>E23+E26+E27+E24+E25</f>
        <v>54729860</v>
      </c>
      <c r="F22" s="479">
        <f>E22/D22</f>
        <v>0.51228398932933961</v>
      </c>
    </row>
    <row r="23" spans="1:6" x14ac:dyDescent="0.2">
      <c r="A23" s="467" t="s">
        <v>38</v>
      </c>
      <c r="B23" s="144" t="s">
        <v>15</v>
      </c>
      <c r="C23" s="145"/>
      <c r="D23" s="145"/>
      <c r="E23" s="436"/>
      <c r="F23" s="479"/>
    </row>
    <row r="24" spans="1:6" x14ac:dyDescent="0.2">
      <c r="A24" s="467" t="s">
        <v>130</v>
      </c>
      <c r="B24" s="144" t="s">
        <v>315</v>
      </c>
      <c r="C24" s="145">
        <v>18200000</v>
      </c>
      <c r="D24" s="145">
        <f>C24</f>
        <v>18200000</v>
      </c>
      <c r="E24" s="437">
        <v>9647636</v>
      </c>
      <c r="F24" s="479">
        <f t="shared" ref="F24:F30" si="1">E24/D24</f>
        <v>0.53008989010989016</v>
      </c>
    </row>
    <row r="25" spans="1:6" x14ac:dyDescent="0.2">
      <c r="A25" s="467" t="s">
        <v>131</v>
      </c>
      <c r="B25" s="144" t="s">
        <v>16</v>
      </c>
      <c r="C25" s="145">
        <v>86815000</v>
      </c>
      <c r="D25" s="145">
        <f>C25</f>
        <v>86815000</v>
      </c>
      <c r="E25" s="437">
        <v>43873042</v>
      </c>
      <c r="F25" s="479">
        <f t="shared" si="1"/>
        <v>0.50536246040430799</v>
      </c>
    </row>
    <row r="26" spans="1:6" x14ac:dyDescent="0.2">
      <c r="A26" s="467" t="s">
        <v>132</v>
      </c>
      <c r="B26" s="144" t="s">
        <v>381</v>
      </c>
      <c r="C26" s="145">
        <v>220000</v>
      </c>
      <c r="D26" s="145">
        <f>C26</f>
        <v>220000</v>
      </c>
      <c r="E26" s="437">
        <v>124286</v>
      </c>
      <c r="F26" s="479">
        <f t="shared" si="1"/>
        <v>0.56493636363636368</v>
      </c>
    </row>
    <row r="27" spans="1:6" x14ac:dyDescent="0.2">
      <c r="A27" s="467" t="s">
        <v>133</v>
      </c>
      <c r="B27" s="144" t="s">
        <v>17</v>
      </c>
      <c r="C27" s="145">
        <v>1600000</v>
      </c>
      <c r="D27" s="145">
        <f>C27</f>
        <v>1600000</v>
      </c>
      <c r="E27" s="437">
        <v>1084896</v>
      </c>
      <c r="F27" s="479">
        <f t="shared" si="1"/>
        <v>0.67806</v>
      </c>
    </row>
    <row r="28" spans="1:6" x14ac:dyDescent="0.2">
      <c r="A28" s="467" t="s">
        <v>134</v>
      </c>
      <c r="B28" s="147" t="s">
        <v>18</v>
      </c>
      <c r="C28" s="146">
        <f ca="1">'2.melléklet.Önkormányzat.és int'!D39</f>
        <v>132633381</v>
      </c>
      <c r="D28" s="146">
        <f ca="1">'2.melléklet.Önkormányzat.és int'!E39</f>
        <v>132633381</v>
      </c>
      <c r="E28" s="437">
        <f ca="1">'2.melléklet.Önkormányzat.és int'!F44</f>
        <v>61170296</v>
      </c>
      <c r="F28" s="479">
        <f t="shared" ca="1" si="1"/>
        <v>0.46119834644040325</v>
      </c>
    </row>
    <row r="29" spans="1:6" x14ac:dyDescent="0.2">
      <c r="A29" s="467" t="s">
        <v>135</v>
      </c>
      <c r="B29" s="147" t="s">
        <v>20</v>
      </c>
      <c r="C29" s="146"/>
      <c r="D29" s="146">
        <f>'2.melléklet.Önkormányzat.és int'!T44</f>
        <v>184343840</v>
      </c>
      <c r="E29" s="437">
        <f>'2.melléklet.Önkormányzat.és int'!U44</f>
        <v>36913962</v>
      </c>
      <c r="F29" s="479">
        <f t="shared" si="1"/>
        <v>0.20024516143311324</v>
      </c>
    </row>
    <row r="30" spans="1:6" x14ac:dyDescent="0.2">
      <c r="A30" s="467" t="s">
        <v>136</v>
      </c>
      <c r="B30" s="147" t="s">
        <v>60</v>
      </c>
      <c r="C30" s="146">
        <f>'2.melléklet.Önkormányzat.és int'!AB44</f>
        <v>1750000</v>
      </c>
      <c r="D30" s="146">
        <f>'2.melléklet.Önkormányzat.és int'!AC44</f>
        <v>1750000</v>
      </c>
      <c r="E30" s="437">
        <f>'2.melléklet.Önkormányzat.és int'!AD44</f>
        <v>6431176</v>
      </c>
      <c r="F30" s="479">
        <f t="shared" si="1"/>
        <v>3.6749577142857142</v>
      </c>
    </row>
    <row r="31" spans="1:6" x14ac:dyDescent="0.2">
      <c r="A31" s="467" t="s">
        <v>137</v>
      </c>
      <c r="B31" s="147" t="s">
        <v>23</v>
      </c>
      <c r="C31" s="146"/>
      <c r="D31" s="146"/>
      <c r="E31" s="436"/>
      <c r="F31" s="479"/>
    </row>
    <row r="32" spans="1:6" x14ac:dyDescent="0.2">
      <c r="A32" s="467" t="s">
        <v>138</v>
      </c>
      <c r="B32" s="147" t="s">
        <v>52</v>
      </c>
      <c r="C32" s="146">
        <f ca="1">C6+C14+C18+C22+C28+C29+C30+C31</f>
        <v>920348502</v>
      </c>
      <c r="D32" s="146">
        <f ca="1">D6+D14+D18+D22+D28+D29+D30+D31</f>
        <v>1151612444</v>
      </c>
      <c r="E32" s="146">
        <f ca="1">E6+E14+E18+E22+E28+E29+E30+E31</f>
        <v>560249915</v>
      </c>
      <c r="F32" s="479">
        <f ca="1">E32/D32</f>
        <v>0.48649171682622072</v>
      </c>
    </row>
    <row r="33" spans="1:6" x14ac:dyDescent="0.2">
      <c r="A33" s="467" t="s">
        <v>139</v>
      </c>
      <c r="B33" s="147" t="s">
        <v>27</v>
      </c>
      <c r="C33" s="146"/>
      <c r="D33" s="146"/>
      <c r="E33" s="436"/>
      <c r="F33" s="479"/>
    </row>
    <row r="34" spans="1:6" x14ac:dyDescent="0.2">
      <c r="A34" s="467" t="s">
        <v>140</v>
      </c>
      <c r="B34" s="147" t="s">
        <v>127</v>
      </c>
      <c r="C34" s="146">
        <f ca="1">'2.melléklet.Önkormányzat.és int'!AE39</f>
        <v>396748087</v>
      </c>
      <c r="D34" s="146">
        <f ca="1">'2.melléklet.Önkormányzat.és int'!AF39</f>
        <v>396888687</v>
      </c>
      <c r="E34" s="437">
        <f>'2.melléklet.Önkormányzat.és int'!AG44</f>
        <v>396888687</v>
      </c>
      <c r="F34" s="479">
        <f ca="1">E34/D34</f>
        <v>1</v>
      </c>
    </row>
    <row r="35" spans="1:6" x14ac:dyDescent="0.2">
      <c r="A35" s="467" t="s">
        <v>141</v>
      </c>
      <c r="B35" s="147" t="s">
        <v>30</v>
      </c>
      <c r="C35" s="146">
        <f>C36</f>
        <v>0</v>
      </c>
      <c r="D35" s="146">
        <v>0</v>
      </c>
      <c r="E35" s="436"/>
      <c r="F35" s="479"/>
    </row>
    <row r="36" spans="1:6" x14ac:dyDescent="0.2">
      <c r="A36" s="467" t="s">
        <v>142</v>
      </c>
      <c r="B36" s="144" t="s">
        <v>31</v>
      </c>
      <c r="C36" s="145"/>
      <c r="D36" s="145">
        <f>'2.melléklet.Önkormányzat.és int'!AI23</f>
        <v>2586637</v>
      </c>
      <c r="E36" s="437">
        <f>'2.melléklet.Önkormányzat.és int'!AJ23</f>
        <v>2586637</v>
      </c>
      <c r="F36" s="479">
        <f>E36/D36</f>
        <v>1</v>
      </c>
    </row>
    <row r="37" spans="1:6" x14ac:dyDescent="0.2">
      <c r="A37" s="467" t="s">
        <v>143</v>
      </c>
      <c r="B37" s="147" t="s">
        <v>33</v>
      </c>
      <c r="C37" s="146"/>
      <c r="D37" s="146"/>
      <c r="E37" s="436"/>
      <c r="F37" s="479"/>
    </row>
    <row r="38" spans="1:6" x14ac:dyDescent="0.2">
      <c r="A38" s="467" t="s">
        <v>312</v>
      </c>
      <c r="B38" s="147" t="s">
        <v>382</v>
      </c>
      <c r="C38" s="146">
        <v>2000000</v>
      </c>
      <c r="D38" s="146">
        <f>'2.melléklet.Önkormányzat.és int'!Z44</f>
        <v>2000000</v>
      </c>
      <c r="E38" s="437">
        <f>'2.melléklet.Önkormányzat.és int'!AA44</f>
        <v>2000000</v>
      </c>
      <c r="F38" s="479">
        <f>E38/D38</f>
        <v>1</v>
      </c>
    </row>
    <row r="39" spans="1:6" x14ac:dyDescent="0.2">
      <c r="A39" s="467" t="s">
        <v>253</v>
      </c>
      <c r="B39" s="147" t="s">
        <v>35</v>
      </c>
      <c r="C39" s="146"/>
      <c r="D39" s="146"/>
      <c r="E39" s="436"/>
      <c r="F39" s="479"/>
    </row>
    <row r="40" spans="1:6" x14ac:dyDescent="0.2">
      <c r="A40" s="467" t="s">
        <v>144</v>
      </c>
      <c r="B40" s="147" t="s">
        <v>37</v>
      </c>
      <c r="C40" s="146">
        <f ca="1">C33+C34+C35+C37+C38+C39+C36</f>
        <v>398748087</v>
      </c>
      <c r="D40" s="146">
        <f ca="1">D33+D34+D35+D37+D38+D39+D36</f>
        <v>401475324</v>
      </c>
      <c r="E40" s="146">
        <f>E33+E34+E35+E37+E38+E39+E36</f>
        <v>401475324</v>
      </c>
      <c r="F40" s="479">
        <f ca="1">E40/D40</f>
        <v>1</v>
      </c>
    </row>
    <row r="41" spans="1:6" ht="28.5" customHeight="1" thickBot="1" x14ac:dyDescent="0.25">
      <c r="A41" s="468" t="s">
        <v>145</v>
      </c>
      <c r="B41" s="469" t="s">
        <v>390</v>
      </c>
      <c r="C41" s="470">
        <f ca="1">C32+C40</f>
        <v>1319096589</v>
      </c>
      <c r="D41" s="470">
        <f ca="1">D32+D40</f>
        <v>1553087768</v>
      </c>
      <c r="E41" s="470">
        <f ca="1">E32+E40</f>
        <v>961725239</v>
      </c>
      <c r="F41" s="480">
        <f ca="1">E41/D41</f>
        <v>0.61923431425802078</v>
      </c>
    </row>
    <row r="42" spans="1:6" x14ac:dyDescent="0.2">
      <c r="A42" s="150"/>
      <c r="B42" s="149"/>
      <c r="C42" s="148"/>
      <c r="D42" s="148"/>
      <c r="F42" s="136"/>
    </row>
    <row r="43" spans="1:6" x14ac:dyDescent="0.2">
      <c r="A43" s="143"/>
      <c r="B43" s="137"/>
      <c r="C43" s="138"/>
      <c r="D43" s="138"/>
    </row>
    <row r="44" spans="1:6" ht="13.5" thickBot="1" x14ac:dyDescent="0.25">
      <c r="A44" s="505" t="s">
        <v>39</v>
      </c>
      <c r="B44" s="505"/>
      <c r="C44" s="505"/>
      <c r="D44" s="138"/>
    </row>
    <row r="45" spans="1:6" x14ac:dyDescent="0.2">
      <c r="A45" s="472" t="s">
        <v>53</v>
      </c>
      <c r="B45" s="473" t="s">
        <v>61</v>
      </c>
      <c r="C45" s="474" t="s">
        <v>54</v>
      </c>
      <c r="D45" s="474" t="s">
        <v>55</v>
      </c>
      <c r="E45" s="476" t="s">
        <v>56</v>
      </c>
      <c r="F45" s="476" t="s">
        <v>63</v>
      </c>
    </row>
    <row r="46" spans="1:6" ht="38.25" customHeight="1" x14ac:dyDescent="0.2">
      <c r="A46" s="466" t="s">
        <v>2</v>
      </c>
      <c r="B46" s="153" t="s">
        <v>40</v>
      </c>
      <c r="C46" s="152" t="s">
        <v>364</v>
      </c>
      <c r="D46" s="152" t="s">
        <v>365</v>
      </c>
      <c r="E46" s="477" t="s">
        <v>405</v>
      </c>
      <c r="F46" s="478" t="s">
        <v>415</v>
      </c>
    </row>
    <row r="47" spans="1:6" x14ac:dyDescent="0.2">
      <c r="A47" s="467" t="s">
        <v>1</v>
      </c>
      <c r="B47" s="147" t="s">
        <v>391</v>
      </c>
      <c r="C47" s="146">
        <f>C48+C49+C50+C51+C52</f>
        <v>841119725</v>
      </c>
      <c r="D47" s="146">
        <f>D48+D49+D50+D51+D52+D53</f>
        <v>1037111497</v>
      </c>
      <c r="E47" s="146">
        <f>E48+E49+E50+E51+E52+E53</f>
        <v>457280276.83360004</v>
      </c>
      <c r="F47" s="481">
        <f t="shared" ref="F47:F53" si="2">E47/D47</f>
        <v>0.44091718022252341</v>
      </c>
    </row>
    <row r="48" spans="1:6" x14ac:dyDescent="0.2">
      <c r="A48" s="467" t="s">
        <v>3</v>
      </c>
      <c r="B48" s="144" t="s">
        <v>252</v>
      </c>
      <c r="C48" s="145">
        <f>'6.melléklet.Kiadások.Önk.'!D67</f>
        <v>430834713</v>
      </c>
      <c r="D48" s="145">
        <f>'6.melléklet.Kiadások.Önk.'!E67</f>
        <v>473871708</v>
      </c>
      <c r="E48" s="437">
        <f>'6.melléklet.Kiadások.Önk.'!F67</f>
        <v>233391331.87200001</v>
      </c>
      <c r="F48" s="479">
        <f t="shared" si="2"/>
        <v>0.49252008071349135</v>
      </c>
    </row>
    <row r="49" spans="1:6" x14ac:dyDescent="0.2">
      <c r="A49" s="467" t="s">
        <v>4</v>
      </c>
      <c r="B49" s="144" t="s">
        <v>251</v>
      </c>
      <c r="C49" s="145">
        <f>'6.melléklet.Kiadások.Önk.'!G67</f>
        <v>56758396</v>
      </c>
      <c r="D49" s="145">
        <f>'6.melléklet.Kiadások.Önk.'!H67</f>
        <v>60383912</v>
      </c>
      <c r="E49" s="437">
        <f>'6.melléklet.Kiadások.Önk.'!I67</f>
        <v>29790203.961599998</v>
      </c>
      <c r="F49" s="479">
        <f t="shared" si="2"/>
        <v>0.49334670402937786</v>
      </c>
    </row>
    <row r="50" spans="1:6" x14ac:dyDescent="0.2">
      <c r="A50" s="467" t="s">
        <v>6</v>
      </c>
      <c r="B50" s="144" t="s">
        <v>250</v>
      </c>
      <c r="C50" s="145">
        <f>'6.melléklet.Kiadások.Önk.'!J67</f>
        <v>283781140</v>
      </c>
      <c r="D50" s="145">
        <f>'6.melléklet.Kiadások.Önk.'!K67</f>
        <v>320688998</v>
      </c>
      <c r="E50" s="437">
        <f>'6.melléklet.Kiadások.Önk.'!L67</f>
        <v>151767109</v>
      </c>
      <c r="F50" s="479">
        <f t="shared" si="2"/>
        <v>0.47325324518928458</v>
      </c>
    </row>
    <row r="51" spans="1:6" x14ac:dyDescent="0.2">
      <c r="A51" s="467" t="s">
        <v>8</v>
      </c>
      <c r="B51" s="144" t="s">
        <v>249</v>
      </c>
      <c r="C51" s="145">
        <f>'6.melléklet.Kiadások.Önk.'!M67</f>
        <v>29231066</v>
      </c>
      <c r="D51" s="145">
        <f>'6.melléklet.Kiadások.Önk.'!N67</f>
        <v>29231066</v>
      </c>
      <c r="E51" s="437">
        <f>'6.melléklet.Kiadások.Önk.'!O67</f>
        <v>8695671</v>
      </c>
      <c r="F51" s="479">
        <f t="shared" si="2"/>
        <v>0.29748046136942113</v>
      </c>
    </row>
    <row r="52" spans="1:6" x14ac:dyDescent="0.2">
      <c r="A52" s="467" t="s">
        <v>19</v>
      </c>
      <c r="B52" s="144" t="s">
        <v>248</v>
      </c>
      <c r="C52" s="145">
        <f>'6.melléklet.Kiadások.Önk.'!P67+'6.melléklet.Kiadások.Önk.'!S67</f>
        <v>40514410</v>
      </c>
      <c r="D52" s="145">
        <f>'6.melléklet.Kiadások.Önk.'!Q67+'6.melléklet.Kiadások.Önk.'!T67</f>
        <v>46695963</v>
      </c>
      <c r="E52" s="437">
        <f>'6.melléklet.Kiadások.Önk.'!R67+'6.melléklet.Kiadások.Önk.'!U67</f>
        <v>33635961</v>
      </c>
      <c r="F52" s="479">
        <f t="shared" si="2"/>
        <v>0.72031839240578466</v>
      </c>
    </row>
    <row r="53" spans="1:6" x14ac:dyDescent="0.2">
      <c r="A53" s="467" t="s">
        <v>21</v>
      </c>
      <c r="B53" s="144" t="s">
        <v>247</v>
      </c>
      <c r="C53" s="145">
        <f>'6.melléklet.Kiadások.Önk.'!AH67</f>
        <v>142901586</v>
      </c>
      <c r="D53" s="145">
        <f>'6.melléklet.Kiadások.Önk.'!AI64</f>
        <v>106239850</v>
      </c>
      <c r="E53" s="436"/>
      <c r="F53" s="479">
        <f t="shared" si="2"/>
        <v>0</v>
      </c>
    </row>
    <row r="54" spans="1:6" x14ac:dyDescent="0.2">
      <c r="A54" s="467" t="s">
        <v>22</v>
      </c>
      <c r="B54" s="144" t="s">
        <v>392</v>
      </c>
      <c r="C54" s="145"/>
      <c r="D54" s="145"/>
      <c r="E54" s="436"/>
      <c r="F54" s="479"/>
    </row>
    <row r="55" spans="1:6" x14ac:dyDescent="0.2">
      <c r="A55" s="467" t="s">
        <v>24</v>
      </c>
      <c r="B55" s="144" t="s">
        <v>44</v>
      </c>
      <c r="C55" s="145"/>
      <c r="D55" s="145"/>
      <c r="E55" s="436"/>
      <c r="F55" s="479"/>
    </row>
    <row r="56" spans="1:6" x14ac:dyDescent="0.2">
      <c r="A56" s="467" t="s">
        <v>25</v>
      </c>
      <c r="B56" s="147" t="s">
        <v>246</v>
      </c>
      <c r="C56" s="146">
        <f>C57+C59+C61+C63</f>
        <v>313342484</v>
      </c>
      <c r="D56" s="146">
        <f>D57+D59+D61+D63</f>
        <v>491656840</v>
      </c>
      <c r="E56" s="146">
        <f>E57+E59+E61+E63</f>
        <v>141271764</v>
      </c>
      <c r="F56" s="481">
        <f>E56/D56</f>
        <v>0.2873381442227062</v>
      </c>
    </row>
    <row r="57" spans="1:6" x14ac:dyDescent="0.2">
      <c r="A57" s="467" t="s">
        <v>26</v>
      </c>
      <c r="B57" s="144" t="s">
        <v>245</v>
      </c>
      <c r="C57" s="145">
        <f>'6.melléklet.Kiadások.Önk.'!AB67</f>
        <v>222480465</v>
      </c>
      <c r="D57" s="145">
        <f>'6.melléklet.Kiadások.Önk.'!AC67</f>
        <v>377145259</v>
      </c>
      <c r="E57" s="437">
        <f>'6.melléklet.Kiadások.Önk.'!AD67</f>
        <v>92058187</v>
      </c>
      <c r="F57" s="479">
        <f>E57/D57</f>
        <v>0.24409212313603551</v>
      </c>
    </row>
    <row r="58" spans="1:6" x14ac:dyDescent="0.2">
      <c r="A58" s="467" t="s">
        <v>28</v>
      </c>
      <c r="B58" s="144" t="s">
        <v>393</v>
      </c>
      <c r="C58" s="145"/>
      <c r="D58" s="145"/>
      <c r="E58" s="436"/>
      <c r="F58" s="479"/>
    </row>
    <row r="59" spans="1:6" x14ac:dyDescent="0.2">
      <c r="A59" s="467" t="s">
        <v>29</v>
      </c>
      <c r="B59" s="144" t="s">
        <v>46</v>
      </c>
      <c r="C59" s="145">
        <f>'6.melléklet.Kiadások.Önk.'!AE67</f>
        <v>85862019</v>
      </c>
      <c r="D59" s="145">
        <f>'6.melléklet.Kiadások.Önk.'!AF67</f>
        <v>109511581</v>
      </c>
      <c r="E59" s="437">
        <f>'6.melléklet.Kiadások.Önk.'!AG67</f>
        <v>47613577</v>
      </c>
      <c r="F59" s="479">
        <f>E59/D59</f>
        <v>0.43478120364274531</v>
      </c>
    </row>
    <row r="60" spans="1:6" x14ac:dyDescent="0.2">
      <c r="A60" s="467" t="s">
        <v>32</v>
      </c>
      <c r="B60" s="144" t="s">
        <v>394</v>
      </c>
      <c r="C60" s="145"/>
      <c r="D60" s="145"/>
      <c r="E60" s="436"/>
      <c r="F60" s="479"/>
    </row>
    <row r="61" spans="1:6" x14ac:dyDescent="0.2">
      <c r="A61" s="467" t="s">
        <v>34</v>
      </c>
      <c r="B61" s="144" t="s">
        <v>47</v>
      </c>
      <c r="C61" s="145">
        <f>C62</f>
        <v>0</v>
      </c>
      <c r="D61" s="145">
        <f>D62</f>
        <v>0</v>
      </c>
      <c r="E61" s="436"/>
      <c r="F61" s="479"/>
    </row>
    <row r="62" spans="1:6" x14ac:dyDescent="0.2">
      <c r="A62" s="467" t="s">
        <v>57</v>
      </c>
      <c r="B62" s="144" t="s">
        <v>395</v>
      </c>
      <c r="C62" s="145">
        <f>'6.melléklet.Kiadások.Önk.'!AN67</f>
        <v>0</v>
      </c>
      <c r="D62" s="145">
        <f>'6.melléklet.Kiadások.Önk.'!AO67</f>
        <v>0</v>
      </c>
      <c r="E62" s="436"/>
      <c r="F62" s="479"/>
    </row>
    <row r="63" spans="1:6" x14ac:dyDescent="0.2">
      <c r="A63" s="467" t="s">
        <v>36</v>
      </c>
      <c r="B63" s="144" t="s">
        <v>48</v>
      </c>
      <c r="C63" s="145">
        <f>'6.melléklet.Kiadások.Önk.'!V67</f>
        <v>5000000</v>
      </c>
      <c r="D63" s="145">
        <f>'6.melléklet.Kiadások.Önk.'!W67</f>
        <v>5000000</v>
      </c>
      <c r="E63" s="437">
        <f>'6.melléklet.Kiadások.Önk.'!X67</f>
        <v>1600000</v>
      </c>
      <c r="F63" s="479">
        <f>E63/D63</f>
        <v>0.32</v>
      </c>
    </row>
    <row r="64" spans="1:6" x14ac:dyDescent="0.2">
      <c r="A64" s="467" t="s">
        <v>38</v>
      </c>
      <c r="B64" s="147" t="s">
        <v>244</v>
      </c>
      <c r="C64" s="146">
        <f>C47+C56</f>
        <v>1154462209</v>
      </c>
      <c r="D64" s="146">
        <f>D47+D56</f>
        <v>1528768337</v>
      </c>
      <c r="E64" s="146">
        <f>E47+E56</f>
        <v>598552040.83360004</v>
      </c>
      <c r="F64" s="481">
        <f>E64/D64</f>
        <v>0.39152566569253849</v>
      </c>
    </row>
    <row r="65" spans="1:6" x14ac:dyDescent="0.2">
      <c r="A65" s="467" t="s">
        <v>135</v>
      </c>
      <c r="B65" s="147" t="s">
        <v>243</v>
      </c>
      <c r="C65" s="146">
        <f>C66</f>
        <v>21732794</v>
      </c>
      <c r="D65" s="146">
        <f>D66</f>
        <v>24319431</v>
      </c>
      <c r="E65" s="146">
        <f>E66</f>
        <v>24319431</v>
      </c>
      <c r="F65" s="479">
        <f>E65/D65</f>
        <v>1</v>
      </c>
    </row>
    <row r="66" spans="1:6" x14ac:dyDescent="0.2">
      <c r="A66" s="467" t="s">
        <v>136</v>
      </c>
      <c r="B66" s="144" t="s">
        <v>242</v>
      </c>
      <c r="C66" s="145">
        <f>'6.melléklet.Kiadások.Önk.'!AK67</f>
        <v>21732794</v>
      </c>
      <c r="D66" s="145">
        <f>'6.melléklet.Kiadások.Önk.'!AL67</f>
        <v>24319431</v>
      </c>
      <c r="E66" s="437">
        <f>'6.melléklet.Kiadások.Önk.'!AM67</f>
        <v>24319431</v>
      </c>
      <c r="F66" s="479">
        <f>E66/D66</f>
        <v>1</v>
      </c>
    </row>
    <row r="67" spans="1:6" x14ac:dyDescent="0.2">
      <c r="A67" s="467" t="s">
        <v>137</v>
      </c>
      <c r="B67" s="147" t="s">
        <v>49</v>
      </c>
      <c r="C67" s="146"/>
      <c r="D67" s="145"/>
      <c r="E67" s="436"/>
      <c r="F67" s="479"/>
    </row>
    <row r="68" spans="1:6" x14ac:dyDescent="0.2">
      <c r="A68" s="467" t="s">
        <v>138</v>
      </c>
      <c r="B68" s="147" t="s">
        <v>50</v>
      </c>
      <c r="C68" s="146"/>
      <c r="D68" s="145"/>
      <c r="E68" s="436"/>
      <c r="F68" s="479"/>
    </row>
    <row r="69" spans="1:6" x14ac:dyDescent="0.2">
      <c r="A69" s="467" t="s">
        <v>139</v>
      </c>
      <c r="B69" s="147" t="s">
        <v>51</v>
      </c>
      <c r="C69" s="146"/>
      <c r="D69" s="145"/>
      <c r="E69" s="436"/>
      <c r="F69" s="479"/>
    </row>
    <row r="70" spans="1:6" x14ac:dyDescent="0.2">
      <c r="A70" s="467" t="s">
        <v>140</v>
      </c>
      <c r="B70" s="147" t="s">
        <v>396</v>
      </c>
      <c r="C70" s="146">
        <f>C65+C67+C68+C69</f>
        <v>21732794</v>
      </c>
      <c r="D70" s="146">
        <f>D65+D67+D68+D69</f>
        <v>24319431</v>
      </c>
      <c r="E70" s="146">
        <f>E65+E67+E68+E69</f>
        <v>24319431</v>
      </c>
      <c r="F70" s="481">
        <f>E70/D70</f>
        <v>1</v>
      </c>
    </row>
    <row r="71" spans="1:6" ht="13.5" thickBot="1" x14ac:dyDescent="0.25">
      <c r="A71" s="468" t="s">
        <v>141</v>
      </c>
      <c r="B71" s="475" t="s">
        <v>397</v>
      </c>
      <c r="C71" s="470">
        <f>C64+C70+C53</f>
        <v>1319096589</v>
      </c>
      <c r="D71" s="470">
        <f>D64+D70</f>
        <v>1553087768</v>
      </c>
      <c r="E71" s="470">
        <f>E64+E70</f>
        <v>622871471.83360004</v>
      </c>
      <c r="F71" s="480">
        <f>E71/D71</f>
        <v>0.4010536201928287</v>
      </c>
    </row>
    <row r="72" spans="1:6" x14ac:dyDescent="0.2">
      <c r="A72" s="143"/>
      <c r="B72" s="137"/>
      <c r="C72" s="138"/>
      <c r="D72" s="138"/>
    </row>
    <row r="73" spans="1:6" x14ac:dyDescent="0.2">
      <c r="A73" s="506"/>
      <c r="B73" s="506"/>
      <c r="C73" s="506"/>
      <c r="D73" s="142"/>
    </row>
    <row r="74" spans="1:6" x14ac:dyDescent="0.2">
      <c r="A74" s="141"/>
      <c r="B74" s="140"/>
      <c r="C74" s="139"/>
      <c r="D74" s="138"/>
    </row>
  </sheetData>
  <mergeCells count="4">
    <mergeCell ref="B1:D1"/>
    <mergeCell ref="A2:D2"/>
    <mergeCell ref="A44:C44"/>
    <mergeCell ref="A73:C73"/>
  </mergeCells>
  <pageMargins left="0.70866141732283472" right="0.70866141732283472" top="0.74803149606299213" bottom="0.15748031496062992" header="0.31496062992125984" footer="0"/>
  <pageSetup paperSize="9" scale="73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20"/>
  <sheetViews>
    <sheetView workbookViewId="0">
      <selection activeCell="J12" sqref="J12"/>
    </sheetView>
  </sheetViews>
  <sheetFormatPr defaultColWidth="9.140625" defaultRowHeight="12.75" x14ac:dyDescent="0.2"/>
  <cols>
    <col min="1" max="1" width="4.7109375" style="196" customWidth="1"/>
    <col min="2" max="2" width="27" style="273" customWidth="1"/>
    <col min="3" max="3" width="11.5703125" style="196" customWidth="1"/>
    <col min="4" max="4" width="12.85546875" style="196" customWidth="1"/>
    <col min="5" max="5" width="14.7109375" style="196" customWidth="1"/>
    <col min="6" max="6" width="15.28515625" style="196" customWidth="1"/>
    <col min="7" max="7" width="13" style="196" customWidth="1"/>
    <col min="8" max="8" width="14.85546875" style="196" customWidth="1"/>
    <col min="9" max="9" width="10.140625" style="196" customWidth="1"/>
    <col min="10" max="16384" width="9.140625" style="196"/>
  </cols>
  <sheetData>
    <row r="1" spans="1:18" s="158" customFormat="1" x14ac:dyDescent="0.2">
      <c r="A1" s="573"/>
      <c r="B1" s="574"/>
      <c r="C1" s="574"/>
      <c r="D1" s="574"/>
      <c r="E1" s="574"/>
      <c r="F1" s="574"/>
      <c r="G1" s="574"/>
      <c r="H1" s="574"/>
      <c r="I1" s="574"/>
      <c r="J1" s="157"/>
      <c r="K1" s="157"/>
      <c r="L1" s="157"/>
      <c r="M1" s="157"/>
      <c r="N1" s="157"/>
      <c r="O1" s="157"/>
      <c r="P1" s="157"/>
      <c r="Q1" s="157"/>
      <c r="R1" s="157"/>
    </row>
    <row r="2" spans="1:18" s="158" customFormat="1" ht="12" x14ac:dyDescent="0.2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 s="158" customFormat="1" x14ac:dyDescent="0.2">
      <c r="A3" s="575" t="s">
        <v>426</v>
      </c>
      <c r="B3" s="576"/>
      <c r="C3" s="576"/>
      <c r="D3" s="576"/>
      <c r="E3" s="576"/>
      <c r="F3" s="576"/>
      <c r="G3" s="576"/>
      <c r="H3" s="576"/>
      <c r="I3" s="576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158" customFormat="1" ht="12" x14ac:dyDescent="0.2">
      <c r="A4" s="163"/>
      <c r="B4" s="164"/>
      <c r="C4" s="164"/>
      <c r="D4" s="164"/>
      <c r="E4" s="164"/>
      <c r="F4" s="164"/>
      <c r="G4" s="164"/>
      <c r="H4" s="164"/>
      <c r="I4" s="164"/>
      <c r="J4" s="165"/>
      <c r="K4" s="161"/>
      <c r="L4" s="161"/>
      <c r="M4" s="161"/>
      <c r="N4" s="161"/>
      <c r="O4" s="161"/>
      <c r="P4" s="161"/>
      <c r="Q4" s="161"/>
      <c r="R4" s="161"/>
    </row>
    <row r="5" spans="1:18" s="158" customFormat="1" ht="33" customHeight="1" x14ac:dyDescent="0.25">
      <c r="A5" s="577" t="s">
        <v>301</v>
      </c>
      <c r="B5" s="578"/>
      <c r="C5" s="578"/>
      <c r="D5" s="578"/>
      <c r="E5" s="578"/>
      <c r="F5" s="578"/>
      <c r="G5" s="578"/>
      <c r="H5" s="578"/>
      <c r="I5" s="578"/>
      <c r="J5" s="167"/>
      <c r="K5" s="167"/>
      <c r="L5" s="167"/>
      <c r="M5" s="167"/>
      <c r="N5" s="167"/>
      <c r="O5" s="167"/>
      <c r="P5" s="167"/>
      <c r="Q5" s="167"/>
      <c r="R5" s="167"/>
    </row>
    <row r="6" spans="1:18" s="158" customFormat="1" ht="12" x14ac:dyDescent="0.2">
      <c r="A6" s="163"/>
      <c r="B6" s="164"/>
      <c r="C6" s="164"/>
      <c r="D6" s="164"/>
      <c r="E6" s="164"/>
      <c r="F6" s="164"/>
      <c r="G6" s="164"/>
      <c r="H6" s="164"/>
      <c r="I6" s="164"/>
      <c r="J6" s="165"/>
      <c r="K6" s="161"/>
      <c r="L6" s="161"/>
      <c r="M6" s="161"/>
      <c r="N6" s="161"/>
      <c r="O6" s="161"/>
      <c r="P6" s="161"/>
      <c r="Q6" s="161"/>
      <c r="R6" s="161"/>
    </row>
    <row r="7" spans="1:18" s="158" customFormat="1" ht="13.5" thickBot="1" x14ac:dyDescent="0.25">
      <c r="A7" s="568" t="s">
        <v>300</v>
      </c>
      <c r="B7" s="568"/>
      <c r="C7" s="568"/>
      <c r="D7" s="568"/>
      <c r="E7" s="568"/>
      <c r="F7" s="568"/>
      <c r="G7" s="568"/>
      <c r="H7" s="568"/>
      <c r="I7" s="157"/>
      <c r="J7" s="157"/>
      <c r="K7" s="157"/>
      <c r="L7" s="157"/>
      <c r="M7" s="157"/>
      <c r="N7" s="157"/>
      <c r="O7" s="157"/>
      <c r="P7" s="157"/>
      <c r="Q7" s="157"/>
      <c r="R7" s="157"/>
    </row>
    <row r="8" spans="1:18" x14ac:dyDescent="0.2">
      <c r="A8" s="569" t="s">
        <v>289</v>
      </c>
      <c r="B8" s="571" t="s">
        <v>299</v>
      </c>
      <c r="C8" s="571"/>
      <c r="D8" s="571"/>
      <c r="E8" s="571"/>
      <c r="F8" s="571"/>
      <c r="G8" s="571"/>
      <c r="H8" s="572"/>
    </row>
    <row r="9" spans="1:18" ht="57.75" customHeight="1" x14ac:dyDescent="0.2">
      <c r="A9" s="570"/>
      <c r="B9" s="281" t="s">
        <v>298</v>
      </c>
      <c r="C9" s="280" t="s">
        <v>297</v>
      </c>
      <c r="D9" s="280" t="s">
        <v>296</v>
      </c>
      <c r="E9" s="280" t="s">
        <v>295</v>
      </c>
      <c r="F9" s="280" t="s">
        <v>294</v>
      </c>
      <c r="G9" s="280" t="s">
        <v>123</v>
      </c>
      <c r="H9" s="279" t="s">
        <v>84</v>
      </c>
    </row>
    <row r="10" spans="1:18" ht="31.35" customHeight="1" x14ac:dyDescent="0.2">
      <c r="A10" s="278">
        <v>1</v>
      </c>
      <c r="B10" s="259" t="s">
        <v>293</v>
      </c>
      <c r="C10" s="183">
        <v>0</v>
      </c>
      <c r="D10" s="183">
        <v>3</v>
      </c>
      <c r="E10" s="183">
        <v>3</v>
      </c>
      <c r="F10" s="183">
        <v>61</v>
      </c>
      <c r="G10" s="183">
        <v>1</v>
      </c>
      <c r="H10" s="180">
        <f>SUM(C10:G10)</f>
        <v>68</v>
      </c>
    </row>
    <row r="11" spans="1:18" ht="31.35" customHeight="1" x14ac:dyDescent="0.2">
      <c r="A11" s="278">
        <v>2</v>
      </c>
      <c r="B11" s="259" t="s">
        <v>268</v>
      </c>
      <c r="C11" s="183">
        <v>18</v>
      </c>
      <c r="D11" s="183"/>
      <c r="E11" s="183"/>
      <c r="F11" s="183"/>
      <c r="G11" s="183"/>
      <c r="H11" s="180">
        <f>SUM(C11:G11)</f>
        <v>18</v>
      </c>
    </row>
    <row r="12" spans="1:18" ht="31.35" customHeight="1" x14ac:dyDescent="0.2">
      <c r="A12" s="278">
        <v>3</v>
      </c>
      <c r="B12" s="259" t="s">
        <v>269</v>
      </c>
      <c r="C12" s="183"/>
      <c r="D12" s="183">
        <v>26</v>
      </c>
      <c r="E12" s="183"/>
      <c r="F12" s="183"/>
      <c r="G12" s="183"/>
      <c r="H12" s="180">
        <f>SUM(C12:G12)</f>
        <v>26</v>
      </c>
    </row>
    <row r="13" spans="1:18" ht="31.35" customHeight="1" x14ac:dyDescent="0.2">
      <c r="A13" s="278">
        <v>4</v>
      </c>
      <c r="B13" s="259" t="s">
        <v>270</v>
      </c>
      <c r="C13" s="183"/>
      <c r="D13" s="183">
        <v>37</v>
      </c>
      <c r="E13" s="183"/>
      <c r="F13" s="183"/>
      <c r="G13" s="183"/>
      <c r="H13" s="180">
        <f>SUM(C13:G13)</f>
        <v>37</v>
      </c>
    </row>
    <row r="14" spans="1:18" ht="13.5" thickBot="1" x14ac:dyDescent="0.25">
      <c r="A14" s="277">
        <v>5</v>
      </c>
      <c r="B14" s="276" t="s">
        <v>292</v>
      </c>
      <c r="C14" s="184">
        <f t="shared" ref="C14:H14" si="0">C10+C11+C12+C13</f>
        <v>18</v>
      </c>
      <c r="D14" s="184">
        <f t="shared" si="0"/>
        <v>66</v>
      </c>
      <c r="E14" s="184">
        <f t="shared" si="0"/>
        <v>3</v>
      </c>
      <c r="F14" s="184">
        <f t="shared" si="0"/>
        <v>61</v>
      </c>
      <c r="G14" s="184">
        <f t="shared" si="0"/>
        <v>1</v>
      </c>
      <c r="H14" s="185">
        <f t="shared" si="0"/>
        <v>149</v>
      </c>
    </row>
    <row r="15" spans="1:18" x14ac:dyDescent="0.2">
      <c r="A15" s="191"/>
      <c r="B15" s="275"/>
      <c r="C15" s="191"/>
      <c r="D15" s="191"/>
      <c r="E15" s="191"/>
      <c r="F15" s="191"/>
      <c r="G15" s="191"/>
      <c r="H15" s="191"/>
    </row>
    <row r="16" spans="1:18" ht="25.5" x14ac:dyDescent="0.2">
      <c r="A16" s="191"/>
      <c r="B16" s="259" t="s">
        <v>291</v>
      </c>
      <c r="C16" s="562"/>
      <c r="D16" s="563"/>
      <c r="E16" s="563"/>
      <c r="F16" s="563"/>
      <c r="G16" s="564"/>
      <c r="H16" s="183">
        <v>7</v>
      </c>
    </row>
    <row r="17" spans="1:8" x14ac:dyDescent="0.2">
      <c r="A17" s="191"/>
      <c r="B17" s="259" t="s">
        <v>290</v>
      </c>
      <c r="C17" s="565"/>
      <c r="D17" s="566"/>
      <c r="E17" s="566"/>
      <c r="F17" s="566"/>
      <c r="G17" s="567"/>
      <c r="H17" s="183">
        <v>4</v>
      </c>
    </row>
    <row r="18" spans="1:8" x14ac:dyDescent="0.2">
      <c r="A18" s="191"/>
      <c r="B18" s="275"/>
      <c r="C18" s="191"/>
      <c r="D18" s="191"/>
      <c r="E18" s="191"/>
      <c r="F18" s="191"/>
      <c r="G18" s="191"/>
      <c r="H18" s="191"/>
    </row>
    <row r="19" spans="1:8" x14ac:dyDescent="0.2">
      <c r="A19" s="191"/>
      <c r="B19" s="275"/>
      <c r="C19" s="191"/>
      <c r="D19" s="191"/>
      <c r="E19" s="191"/>
      <c r="F19" s="191"/>
      <c r="G19" s="191"/>
      <c r="H19" s="191"/>
    </row>
    <row r="20" spans="1:8" x14ac:dyDescent="0.2">
      <c r="B20" s="275"/>
      <c r="C20" s="191"/>
      <c r="D20" s="274"/>
      <c r="E20" s="191"/>
      <c r="F20" s="191"/>
      <c r="G20" s="191"/>
      <c r="H20" s="191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34"/>
  <sheetViews>
    <sheetView tabSelected="1" zoomScale="112" zoomScaleNormal="112" workbookViewId="0">
      <selection activeCell="A4" sqref="A4"/>
    </sheetView>
  </sheetViews>
  <sheetFormatPr defaultColWidth="9.140625" defaultRowHeight="12.75" x14ac:dyDescent="0.2"/>
  <cols>
    <col min="1" max="1" width="5.5703125" style="172" customWidth="1"/>
    <col min="2" max="2" width="44.85546875" style="231" customWidth="1"/>
    <col min="3" max="3" width="11.28515625" style="210" customWidth="1"/>
    <col min="4" max="4" width="11" style="210" customWidth="1"/>
    <col min="5" max="5" width="11.7109375" style="210" customWidth="1"/>
    <col min="6" max="6" width="9.140625" style="172"/>
    <col min="7" max="7" width="19.5703125" style="172" customWidth="1"/>
    <col min="8" max="16384" width="9.140625" style="172"/>
  </cols>
  <sheetData>
    <row r="1" spans="1:18" s="158" customFormat="1" ht="27.75" customHeight="1" x14ac:dyDescent="0.2">
      <c r="A1" s="573"/>
      <c r="B1" s="574"/>
      <c r="C1" s="574"/>
      <c r="D1" s="574"/>
      <c r="E1" s="156"/>
      <c r="F1" s="156"/>
      <c r="G1" s="156"/>
      <c r="H1" s="156"/>
      <c r="I1" s="156"/>
      <c r="J1" s="157"/>
      <c r="K1" s="157"/>
      <c r="L1" s="157"/>
      <c r="M1" s="157"/>
      <c r="N1" s="157"/>
      <c r="O1" s="157"/>
      <c r="P1" s="157"/>
      <c r="Q1" s="157"/>
      <c r="R1" s="157"/>
    </row>
    <row r="2" spans="1:18" s="158" customFormat="1" ht="12" x14ac:dyDescent="0.2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 s="158" customFormat="1" ht="28.5" customHeight="1" x14ac:dyDescent="0.2">
      <c r="A3" s="575" t="s">
        <v>427</v>
      </c>
      <c r="B3" s="576"/>
      <c r="C3" s="576"/>
      <c r="D3" s="576"/>
      <c r="E3" s="162"/>
      <c r="F3" s="162"/>
      <c r="G3" s="162"/>
      <c r="H3" s="162"/>
      <c r="I3" s="162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158" customFormat="1" ht="12" x14ac:dyDescent="0.2">
      <c r="A4" s="163"/>
      <c r="B4" s="164"/>
      <c r="C4" s="164"/>
      <c r="D4" s="164"/>
      <c r="E4" s="164"/>
      <c r="F4" s="164"/>
      <c r="G4" s="164"/>
      <c r="H4" s="164"/>
      <c r="I4" s="164"/>
      <c r="J4" s="165"/>
      <c r="K4" s="161"/>
      <c r="L4" s="161"/>
      <c r="M4" s="161"/>
      <c r="N4" s="161"/>
      <c r="O4" s="161"/>
      <c r="P4" s="161"/>
      <c r="Q4" s="161"/>
      <c r="R4" s="161"/>
    </row>
    <row r="5" spans="1:18" s="158" customFormat="1" ht="33" customHeight="1" x14ac:dyDescent="0.25">
      <c r="A5" s="577" t="s">
        <v>261</v>
      </c>
      <c r="B5" s="578"/>
      <c r="C5" s="578"/>
      <c r="D5" s="578"/>
      <c r="E5" s="166"/>
      <c r="F5" s="166"/>
      <c r="G5" s="166"/>
      <c r="H5" s="166"/>
      <c r="I5" s="166"/>
      <c r="J5" s="167"/>
      <c r="K5" s="167"/>
      <c r="L5" s="167"/>
      <c r="M5" s="167"/>
      <c r="N5" s="167"/>
      <c r="O5" s="167"/>
      <c r="P5" s="167"/>
      <c r="Q5" s="167"/>
      <c r="R5" s="167"/>
    </row>
    <row r="6" spans="1:18" s="158" customFormat="1" ht="12" x14ac:dyDescent="0.2">
      <c r="A6" s="163"/>
      <c r="B6" s="164"/>
      <c r="C6" s="164"/>
      <c r="D6" s="164"/>
      <c r="E6" s="164"/>
      <c r="F6" s="164"/>
      <c r="G6" s="164"/>
      <c r="H6" s="164"/>
      <c r="I6" s="164"/>
      <c r="J6" s="165"/>
      <c r="K6" s="161"/>
      <c r="L6" s="161"/>
      <c r="M6" s="161"/>
      <c r="N6" s="161"/>
      <c r="O6" s="161"/>
      <c r="P6" s="161"/>
      <c r="Q6" s="161"/>
      <c r="R6" s="161"/>
    </row>
    <row r="7" spans="1:18" s="158" customFormat="1" ht="13.5" thickBot="1" x14ac:dyDescent="0.25">
      <c r="A7" s="168"/>
      <c r="B7" s="168"/>
      <c r="C7" s="568" t="s">
        <v>303</v>
      </c>
      <c r="D7" s="568"/>
      <c r="E7" s="168"/>
      <c r="F7" s="168"/>
      <c r="G7" s="168"/>
      <c r="H7" s="168"/>
      <c r="I7" s="157"/>
      <c r="J7" s="157"/>
      <c r="K7" s="157"/>
      <c r="L7" s="157"/>
      <c r="M7" s="157"/>
      <c r="N7" s="157"/>
      <c r="O7" s="157"/>
      <c r="P7" s="157"/>
      <c r="Q7" s="157"/>
      <c r="R7" s="157"/>
    </row>
    <row r="8" spans="1:18" ht="26.25" customHeight="1" x14ac:dyDescent="0.2">
      <c r="A8" s="169" t="s">
        <v>67</v>
      </c>
      <c r="B8" s="288" t="s">
        <v>262</v>
      </c>
      <c r="C8" s="170" t="s">
        <v>263</v>
      </c>
      <c r="D8" s="438" t="s">
        <v>264</v>
      </c>
      <c r="E8" s="447" t="s">
        <v>405</v>
      </c>
      <c r="F8" s="295"/>
      <c r="G8" s="295"/>
      <c r="H8" s="295"/>
    </row>
    <row r="9" spans="1:18" ht="27" customHeight="1" x14ac:dyDescent="0.2">
      <c r="A9" s="284" t="s">
        <v>185</v>
      </c>
      <c r="B9" s="340" t="s">
        <v>53</v>
      </c>
      <c r="C9" s="341" t="s">
        <v>61</v>
      </c>
      <c r="D9" s="439" t="s">
        <v>54</v>
      </c>
      <c r="E9" s="448" t="s">
        <v>55</v>
      </c>
      <c r="F9" s="295"/>
      <c r="G9" s="295"/>
      <c r="H9" s="295"/>
    </row>
    <row r="10" spans="1:18" ht="27" customHeight="1" x14ac:dyDescent="0.2">
      <c r="A10" s="339" t="s">
        <v>1</v>
      </c>
      <c r="B10" s="342" t="s">
        <v>374</v>
      </c>
      <c r="C10" s="343">
        <v>56037795</v>
      </c>
      <c r="D10" s="391">
        <f>C10</f>
        <v>56037795</v>
      </c>
      <c r="E10" s="449">
        <v>28407360</v>
      </c>
    </row>
    <row r="11" spans="1:18" ht="25.5" x14ac:dyDescent="0.2">
      <c r="A11" s="339" t="s">
        <v>3</v>
      </c>
      <c r="B11" s="173" t="s">
        <v>373</v>
      </c>
      <c r="C11" s="289">
        <v>4000000</v>
      </c>
      <c r="D11" s="440">
        <f>C11</f>
        <v>4000000</v>
      </c>
      <c r="E11" s="449">
        <v>4529700</v>
      </c>
      <c r="F11" s="174"/>
      <c r="G11" s="175"/>
    </row>
    <row r="12" spans="1:18" ht="15" x14ac:dyDescent="0.2">
      <c r="A12" s="339" t="s">
        <v>4</v>
      </c>
      <c r="B12" s="177" t="s">
        <v>400</v>
      </c>
      <c r="C12" s="290"/>
      <c r="D12" s="441">
        <f>116086518+31343360</f>
        <v>147429878</v>
      </c>
      <c r="E12" s="449"/>
      <c r="F12" s="174"/>
      <c r="G12" s="175"/>
    </row>
    <row r="13" spans="1:18" x14ac:dyDescent="0.2">
      <c r="A13" s="339" t="s">
        <v>6</v>
      </c>
      <c r="B13" s="178" t="s">
        <v>304</v>
      </c>
      <c r="C13" s="290">
        <v>141823811</v>
      </c>
      <c r="D13" s="442">
        <f>C13</f>
        <v>141823811</v>
      </c>
      <c r="E13" s="449">
        <v>55983146</v>
      </c>
      <c r="F13" s="174"/>
      <c r="G13" s="175"/>
    </row>
    <row r="14" spans="1:18" x14ac:dyDescent="0.2">
      <c r="A14" s="339" t="s">
        <v>8</v>
      </c>
      <c r="B14" s="178" t="s">
        <v>370</v>
      </c>
      <c r="C14" s="290">
        <v>3486493</v>
      </c>
      <c r="D14" s="442">
        <f>C14</f>
        <v>3486493</v>
      </c>
      <c r="E14" s="449"/>
      <c r="F14" s="174"/>
      <c r="G14" s="175"/>
    </row>
    <row r="15" spans="1:18" x14ac:dyDescent="0.2">
      <c r="A15" s="339" t="s">
        <v>19</v>
      </c>
      <c r="B15" s="178" t="s">
        <v>369</v>
      </c>
      <c r="C15" s="290">
        <v>10000000</v>
      </c>
      <c r="D15" s="442">
        <f>C15</f>
        <v>10000000</v>
      </c>
      <c r="E15" s="449"/>
      <c r="F15" s="174"/>
      <c r="G15" s="175"/>
    </row>
    <row r="16" spans="1:18" ht="25.5" x14ac:dyDescent="0.2">
      <c r="A16" s="339" t="s">
        <v>21</v>
      </c>
      <c r="B16" s="178" t="s">
        <v>378</v>
      </c>
      <c r="C16" s="290">
        <v>165100</v>
      </c>
      <c r="D16" s="443">
        <f>C16+444500</f>
        <v>609600</v>
      </c>
      <c r="E16" s="449"/>
      <c r="F16" s="174"/>
      <c r="G16" s="175"/>
    </row>
    <row r="17" spans="1:7" x14ac:dyDescent="0.2">
      <c r="A17" s="339" t="s">
        <v>22</v>
      </c>
      <c r="B17" s="178" t="s">
        <v>379</v>
      </c>
      <c r="C17" s="290">
        <v>1092200</v>
      </c>
      <c r="D17" s="443">
        <f>C17</f>
        <v>1092200</v>
      </c>
      <c r="E17" s="449">
        <v>840454</v>
      </c>
      <c r="F17" s="174"/>
      <c r="G17" s="175"/>
    </row>
    <row r="18" spans="1:7" x14ac:dyDescent="0.2">
      <c r="A18" s="339" t="s">
        <v>24</v>
      </c>
      <c r="B18" s="178" t="s">
        <v>305</v>
      </c>
      <c r="C18" s="290">
        <v>4110002</v>
      </c>
      <c r="D18" s="443">
        <f>C18</f>
        <v>4110002</v>
      </c>
      <c r="E18" s="449">
        <v>391710</v>
      </c>
      <c r="F18" s="174"/>
      <c r="G18" s="175"/>
    </row>
    <row r="19" spans="1:7" x14ac:dyDescent="0.2">
      <c r="A19" s="339" t="s">
        <v>25</v>
      </c>
      <c r="B19" s="173" t="s">
        <v>307</v>
      </c>
      <c r="C19" s="289">
        <f>'9. Óvoda kiad'!S12</f>
        <v>876064</v>
      </c>
      <c r="D19" s="440">
        <v>1076565</v>
      </c>
      <c r="E19" s="449">
        <v>871402</v>
      </c>
      <c r="F19" s="174"/>
      <c r="G19" s="175"/>
    </row>
    <row r="20" spans="1:7" ht="25.5" x14ac:dyDescent="0.2">
      <c r="A20" s="339" t="s">
        <v>26</v>
      </c>
      <c r="B20" s="173" t="s">
        <v>377</v>
      </c>
      <c r="C20" s="289">
        <f>'7.PMH kiad'!S12</f>
        <v>444500</v>
      </c>
      <c r="D20" s="440">
        <f>C20</f>
        <v>444500</v>
      </c>
      <c r="E20" s="449"/>
      <c r="F20" s="174"/>
      <c r="G20" s="175"/>
    </row>
    <row r="21" spans="1:7" x14ac:dyDescent="0.2">
      <c r="A21" s="339" t="s">
        <v>28</v>
      </c>
      <c r="B21" s="173" t="s">
        <v>403</v>
      </c>
      <c r="C21" s="289"/>
      <c r="D21" s="440">
        <v>6000000</v>
      </c>
      <c r="E21" s="449"/>
      <c r="F21" s="182"/>
      <c r="G21" s="175"/>
    </row>
    <row r="22" spans="1:7" x14ac:dyDescent="0.2">
      <c r="A22" s="339" t="s">
        <v>29</v>
      </c>
      <c r="B22" s="173" t="s">
        <v>404</v>
      </c>
      <c r="C22" s="289"/>
      <c r="D22" s="440">
        <v>1034415</v>
      </c>
      <c r="E22" s="449">
        <v>1034415</v>
      </c>
      <c r="F22" s="174"/>
      <c r="G22" s="175"/>
    </row>
    <row r="23" spans="1:7" x14ac:dyDescent="0.2">
      <c r="A23" s="339" t="s">
        <v>34</v>
      </c>
      <c r="B23" s="286" t="s">
        <v>64</v>
      </c>
      <c r="C23" s="291">
        <f>SUM(C10:C20)</f>
        <v>222035965</v>
      </c>
      <c r="D23" s="444">
        <f>D10+D11+D12+D13+D14+D15+D16+D17+D18+D19+D20+D21+D22</f>
        <v>377145259</v>
      </c>
      <c r="E23" s="444">
        <f>E10+E11+E12+E13+E14+E15+E16+E17+E18+E19+E20+E21+E22</f>
        <v>92058187</v>
      </c>
      <c r="F23" s="182"/>
      <c r="G23" s="175"/>
    </row>
    <row r="24" spans="1:7" x14ac:dyDescent="0.2">
      <c r="A24" s="339" t="s">
        <v>57</v>
      </c>
      <c r="B24" s="173"/>
      <c r="C24" s="283"/>
      <c r="D24" s="445"/>
      <c r="E24" s="449"/>
      <c r="F24" s="174"/>
      <c r="G24" s="175"/>
    </row>
    <row r="25" spans="1:7" ht="14.25" x14ac:dyDescent="0.2">
      <c r="A25" s="339" t="s">
        <v>36</v>
      </c>
      <c r="B25" s="287" t="s">
        <v>308</v>
      </c>
      <c r="C25" s="283"/>
      <c r="D25" s="445"/>
      <c r="E25" s="449"/>
      <c r="F25" s="174"/>
      <c r="G25" s="175"/>
    </row>
    <row r="26" spans="1:7" ht="25.5" x14ac:dyDescent="0.2">
      <c r="A26" s="339" t="s">
        <v>38</v>
      </c>
      <c r="B26" s="173" t="s">
        <v>414</v>
      </c>
      <c r="C26" s="289">
        <f>12000000+294500</f>
        <v>12294500</v>
      </c>
      <c r="D26" s="440">
        <f>C26</f>
        <v>12294500</v>
      </c>
      <c r="E26" s="449">
        <v>4064512</v>
      </c>
      <c r="F26" s="174"/>
      <c r="G26" s="175"/>
    </row>
    <row r="27" spans="1:7" ht="25.5" x14ac:dyDescent="0.2">
      <c r="A27" s="339" t="s">
        <v>130</v>
      </c>
      <c r="B27" s="342" t="s">
        <v>372</v>
      </c>
      <c r="C27" s="289">
        <f>24280595-91390</f>
        <v>24189205</v>
      </c>
      <c r="D27" s="440">
        <f>C27</f>
        <v>24189205</v>
      </c>
      <c r="E27" s="449">
        <v>23530182</v>
      </c>
      <c r="F27" s="174"/>
      <c r="G27" s="175"/>
    </row>
    <row r="28" spans="1:7" x14ac:dyDescent="0.2">
      <c r="A28" s="339" t="s">
        <v>131</v>
      </c>
      <c r="B28" s="342" t="s">
        <v>380</v>
      </c>
      <c r="C28" s="289">
        <v>4635350</v>
      </c>
      <c r="D28" s="440">
        <f>C28</f>
        <v>4635350</v>
      </c>
      <c r="E28" s="449"/>
      <c r="F28" s="174"/>
      <c r="G28" s="175"/>
    </row>
    <row r="29" spans="1:7" x14ac:dyDescent="0.2">
      <c r="A29" s="339" t="s">
        <v>132</v>
      </c>
      <c r="B29" s="173" t="s">
        <v>371</v>
      </c>
      <c r="C29" s="289">
        <v>1443023</v>
      </c>
      <c r="D29" s="440">
        <f>C29</f>
        <v>1443023</v>
      </c>
      <c r="E29" s="449"/>
      <c r="F29" s="174"/>
      <c r="G29" s="175"/>
    </row>
    <row r="30" spans="1:7" x14ac:dyDescent="0.2">
      <c r="A30" s="339" t="s">
        <v>133</v>
      </c>
      <c r="B30" s="173" t="s">
        <v>375</v>
      </c>
      <c r="C30" s="289">
        <v>29999997</v>
      </c>
      <c r="D30" s="440">
        <f>C30</f>
        <v>29999997</v>
      </c>
      <c r="E30" s="449"/>
      <c r="F30" s="174"/>
      <c r="G30" s="175"/>
    </row>
    <row r="31" spans="1:7" x14ac:dyDescent="0.2">
      <c r="A31" s="339" t="s">
        <v>134</v>
      </c>
      <c r="B31" s="173" t="s">
        <v>401</v>
      </c>
      <c r="C31" s="289"/>
      <c r="D31" s="440">
        <v>19999566</v>
      </c>
      <c r="E31" s="449">
        <v>20018883</v>
      </c>
      <c r="F31" s="174"/>
      <c r="G31" s="175"/>
    </row>
    <row r="32" spans="1:7" x14ac:dyDescent="0.2">
      <c r="A32" s="339" t="s">
        <v>135</v>
      </c>
      <c r="B32" s="173" t="s">
        <v>376</v>
      </c>
      <c r="C32" s="289">
        <v>5999944</v>
      </c>
      <c r="D32" s="440">
        <f>C32</f>
        <v>5999944</v>
      </c>
      <c r="E32" s="449"/>
      <c r="F32" s="174"/>
      <c r="G32" s="175"/>
    </row>
    <row r="33" spans="1:7" x14ac:dyDescent="0.2">
      <c r="A33" s="339" t="s">
        <v>136</v>
      </c>
      <c r="B33" s="173" t="s">
        <v>329</v>
      </c>
      <c r="C33" s="289">
        <v>7300000</v>
      </c>
      <c r="D33" s="440">
        <v>950000</v>
      </c>
      <c r="E33" s="449"/>
      <c r="F33" s="174"/>
      <c r="G33" s="175"/>
    </row>
    <row r="34" spans="1:7" ht="13.5" thickBot="1" x14ac:dyDescent="0.25">
      <c r="A34" s="339" t="s">
        <v>137</v>
      </c>
      <c r="B34" s="173" t="s">
        <v>402</v>
      </c>
      <c r="C34" s="289"/>
      <c r="D34" s="440">
        <v>9999996</v>
      </c>
      <c r="E34" s="450"/>
      <c r="F34" s="174"/>
      <c r="G34" s="175"/>
    </row>
    <row r="35" spans="1:7" x14ac:dyDescent="0.2">
      <c r="A35" s="339" t="s">
        <v>138</v>
      </c>
      <c r="B35" s="286" t="s">
        <v>64</v>
      </c>
      <c r="C35" s="291">
        <f>SUM(C26:C33)</f>
        <v>85862019</v>
      </c>
      <c r="D35" s="444">
        <f>SUM(D26:D34)</f>
        <v>109511581</v>
      </c>
      <c r="E35" s="451">
        <f>SUM(E26:E34)</f>
        <v>47613577</v>
      </c>
      <c r="F35" s="182"/>
      <c r="G35" s="175"/>
    </row>
    <row r="36" spans="1:7" x14ac:dyDescent="0.2">
      <c r="A36" s="339" t="s">
        <v>139</v>
      </c>
      <c r="B36" s="173"/>
      <c r="C36" s="289"/>
      <c r="D36" s="440"/>
      <c r="E36" s="449"/>
      <c r="F36" s="174"/>
      <c r="G36" s="175"/>
    </row>
    <row r="37" spans="1:7" x14ac:dyDescent="0.2">
      <c r="A37" s="339" t="s">
        <v>140</v>
      </c>
      <c r="B37" s="173"/>
      <c r="C37" s="289"/>
      <c r="D37" s="440"/>
      <c r="E37" s="449"/>
      <c r="F37" s="174"/>
      <c r="G37" s="175"/>
    </row>
    <row r="38" spans="1:7" ht="13.5" thickBot="1" x14ac:dyDescent="0.25">
      <c r="A38" s="339" t="s">
        <v>141</v>
      </c>
      <c r="B38" s="285" t="s">
        <v>309</v>
      </c>
      <c r="C38" s="292">
        <f>C23+C35</f>
        <v>307897984</v>
      </c>
      <c r="D38" s="446">
        <f>D23+D35</f>
        <v>486656840</v>
      </c>
      <c r="E38" s="452">
        <f>E23+E35</f>
        <v>139671764</v>
      </c>
      <c r="F38" s="182"/>
      <c r="G38" s="175"/>
    </row>
    <row r="39" spans="1:7" x14ac:dyDescent="0.2">
      <c r="A39" s="186"/>
      <c r="B39" s="187"/>
      <c r="C39" s="188"/>
      <c r="D39" s="171"/>
      <c r="E39" s="171"/>
    </row>
    <row r="40" spans="1:7" x14ac:dyDescent="0.2">
      <c r="A40" s="189"/>
      <c r="B40" s="190"/>
      <c r="C40" s="191"/>
      <c r="D40" s="191"/>
      <c r="E40" s="181"/>
    </row>
    <row r="41" spans="1:7" x14ac:dyDescent="0.2">
      <c r="A41" s="189"/>
      <c r="B41" s="190"/>
      <c r="C41" s="191"/>
      <c r="D41" s="191"/>
      <c r="E41" s="181"/>
    </row>
    <row r="42" spans="1:7" x14ac:dyDescent="0.2">
      <c r="A42" s="189"/>
      <c r="B42" s="190"/>
      <c r="C42" s="191"/>
      <c r="D42" s="191"/>
      <c r="E42" s="181"/>
    </row>
    <row r="43" spans="1:7" x14ac:dyDescent="0.2">
      <c r="A43" s="189"/>
      <c r="B43" s="190"/>
      <c r="C43" s="191"/>
      <c r="D43" s="191"/>
      <c r="E43" s="181"/>
    </row>
    <row r="44" spans="1:7" ht="18" customHeight="1" x14ac:dyDescent="0.2">
      <c r="A44" s="189"/>
      <c r="B44" s="192"/>
      <c r="C44" s="193"/>
      <c r="D44" s="191"/>
      <c r="E44" s="181"/>
    </row>
    <row r="45" spans="1:7" ht="18" customHeight="1" x14ac:dyDescent="0.2">
      <c r="A45" s="194"/>
      <c r="B45" s="195"/>
      <c r="C45" s="196"/>
      <c r="D45" s="196"/>
      <c r="E45" s="197"/>
    </row>
    <row r="46" spans="1:7" x14ac:dyDescent="0.2">
      <c r="A46" s="194"/>
      <c r="B46" s="198"/>
      <c r="C46" s="199"/>
      <c r="D46" s="196"/>
      <c r="E46" s="197"/>
    </row>
    <row r="47" spans="1:7" x14ac:dyDescent="0.2">
      <c r="A47" s="194"/>
      <c r="B47" s="198"/>
      <c r="C47" s="199"/>
      <c r="D47" s="196"/>
      <c r="E47" s="197"/>
    </row>
    <row r="48" spans="1:7" x14ac:dyDescent="0.2">
      <c r="A48" s="200"/>
      <c r="B48" s="201"/>
      <c r="C48" s="202"/>
      <c r="D48" s="202"/>
      <c r="E48" s="202"/>
    </row>
    <row r="49" spans="1:5" x14ac:dyDescent="0.2">
      <c r="A49" s="200"/>
      <c r="B49" s="203"/>
      <c r="C49" s="202"/>
      <c r="D49" s="204"/>
      <c r="E49" s="205"/>
    </row>
    <row r="50" spans="1:5" x14ac:dyDescent="0.2">
      <c r="A50" s="194"/>
      <c r="B50" s="195"/>
      <c r="C50" s="206"/>
      <c r="D50" s="206"/>
      <c r="E50" s="197"/>
    </row>
    <row r="51" spans="1:5" x14ac:dyDescent="0.2">
      <c r="A51" s="200"/>
      <c r="B51" s="195"/>
      <c r="C51" s="206"/>
      <c r="D51" s="206"/>
      <c r="E51" s="206"/>
    </row>
    <row r="52" spans="1:5" x14ac:dyDescent="0.2">
      <c r="A52" s="194"/>
      <c r="B52" s="195"/>
      <c r="C52" s="206"/>
      <c r="D52" s="206"/>
      <c r="E52" s="206"/>
    </row>
    <row r="53" spans="1:5" x14ac:dyDescent="0.2">
      <c r="A53" s="194"/>
      <c r="B53" s="195"/>
      <c r="C53" s="206"/>
      <c r="D53" s="206"/>
      <c r="E53" s="206"/>
    </row>
    <row r="54" spans="1:5" x14ac:dyDescent="0.2">
      <c r="A54" s="194"/>
      <c r="B54" s="195"/>
      <c r="C54" s="206"/>
      <c r="D54" s="206"/>
      <c r="E54" s="206"/>
    </row>
    <row r="55" spans="1:5" x14ac:dyDescent="0.2">
      <c r="A55" s="200"/>
      <c r="B55" s="195"/>
      <c r="C55" s="206"/>
      <c r="D55" s="206"/>
      <c r="E55" s="206"/>
    </row>
    <row r="56" spans="1:5" x14ac:dyDescent="0.2">
      <c r="A56" s="194"/>
      <c r="B56" s="207"/>
      <c r="C56" s="204"/>
      <c r="D56" s="204"/>
      <c r="E56" s="205"/>
    </row>
    <row r="57" spans="1:5" x14ac:dyDescent="0.2">
      <c r="A57" s="194"/>
      <c r="B57" s="195"/>
      <c r="C57" s="206"/>
      <c r="D57" s="206"/>
      <c r="E57" s="197"/>
    </row>
    <row r="58" spans="1:5" x14ac:dyDescent="0.2">
      <c r="A58" s="194"/>
      <c r="B58" s="207"/>
      <c r="C58" s="199"/>
      <c r="D58" s="199"/>
      <c r="E58" s="197"/>
    </row>
    <row r="59" spans="1:5" x14ac:dyDescent="0.2">
      <c r="A59" s="194"/>
      <c r="B59" s="195"/>
      <c r="C59" s="196"/>
      <c r="D59" s="196"/>
      <c r="E59" s="197"/>
    </row>
    <row r="60" spans="1:5" x14ac:dyDescent="0.2">
      <c r="A60" s="194"/>
      <c r="B60" s="195"/>
      <c r="C60" s="196"/>
      <c r="D60" s="196"/>
      <c r="E60" s="197"/>
    </row>
    <row r="61" spans="1:5" x14ac:dyDescent="0.2">
      <c r="A61" s="194"/>
      <c r="B61" s="195"/>
      <c r="C61" s="196"/>
      <c r="D61" s="196"/>
      <c r="E61" s="205"/>
    </row>
    <row r="62" spans="1:5" x14ac:dyDescent="0.2">
      <c r="A62" s="194"/>
      <c r="B62" s="195"/>
      <c r="C62" s="196"/>
      <c r="D62" s="196"/>
      <c r="E62" s="197"/>
    </row>
    <row r="63" spans="1:5" x14ac:dyDescent="0.2">
      <c r="A63" s="194"/>
      <c r="B63" s="195"/>
      <c r="C63" s="196"/>
      <c r="D63" s="196"/>
      <c r="E63" s="197"/>
    </row>
    <row r="64" spans="1:5" x14ac:dyDescent="0.2">
      <c r="A64" s="194"/>
      <c r="B64" s="208"/>
      <c r="C64" s="199"/>
      <c r="D64" s="199"/>
      <c r="E64" s="197"/>
    </row>
    <row r="65" spans="1:5" x14ac:dyDescent="0.2">
      <c r="A65" s="200"/>
      <c r="B65" s="198"/>
      <c r="C65" s="209"/>
      <c r="E65" s="197"/>
    </row>
    <row r="66" spans="1:5" x14ac:dyDescent="0.2">
      <c r="A66" s="200"/>
      <c r="B66" s="211"/>
      <c r="C66" s="200"/>
      <c r="E66" s="197"/>
    </row>
    <row r="67" spans="1:5" x14ac:dyDescent="0.2">
      <c r="A67" s="200"/>
      <c r="B67" s="212"/>
      <c r="C67" s="200"/>
      <c r="E67" s="197"/>
    </row>
    <row r="68" spans="1:5" x14ac:dyDescent="0.2">
      <c r="B68" s="211"/>
      <c r="C68" s="213"/>
      <c r="D68" s="205"/>
      <c r="E68" s="197"/>
    </row>
    <row r="69" spans="1:5" x14ac:dyDescent="0.2">
      <c r="A69" s="214"/>
      <c r="B69" s="211"/>
      <c r="C69" s="213"/>
      <c r="D69" s="215"/>
      <c r="E69" s="197"/>
    </row>
    <row r="70" spans="1:5" x14ac:dyDescent="0.2">
      <c r="A70" s="214"/>
      <c r="B70" s="211"/>
      <c r="C70" s="213"/>
      <c r="D70" s="215"/>
      <c r="E70" s="197"/>
    </row>
    <row r="71" spans="1:5" x14ac:dyDescent="0.2">
      <c r="A71" s="214"/>
      <c r="B71" s="211"/>
      <c r="C71" s="213"/>
      <c r="D71" s="209"/>
      <c r="E71" s="197"/>
    </row>
    <row r="72" spans="1:5" x14ac:dyDescent="0.2">
      <c r="A72" s="214"/>
      <c r="B72" s="211"/>
      <c r="C72" s="215"/>
      <c r="D72" s="215"/>
      <c r="E72" s="205"/>
    </row>
    <row r="73" spans="1:5" x14ac:dyDescent="0.2">
      <c r="A73" s="214"/>
      <c r="B73" s="211"/>
      <c r="C73" s="209"/>
      <c r="D73" s="215"/>
      <c r="E73" s="205"/>
    </row>
    <row r="74" spans="1:5" x14ac:dyDescent="0.2">
      <c r="A74" s="214"/>
      <c r="B74" s="211"/>
      <c r="C74" s="209"/>
      <c r="D74" s="215"/>
      <c r="E74" s="205"/>
    </row>
    <row r="75" spans="1:5" x14ac:dyDescent="0.2">
      <c r="A75" s="214"/>
      <c r="B75" s="211"/>
      <c r="C75" s="209"/>
      <c r="D75" s="216"/>
      <c r="E75" s="217"/>
    </row>
    <row r="76" spans="1:5" x14ac:dyDescent="0.2">
      <c r="A76" s="210"/>
      <c r="B76" s="211"/>
      <c r="C76" s="215"/>
      <c r="D76" s="216"/>
      <c r="E76" s="217"/>
    </row>
    <row r="77" spans="1:5" x14ac:dyDescent="0.2">
      <c r="A77" s="214"/>
      <c r="B77" s="218"/>
      <c r="C77" s="219"/>
      <c r="D77" s="216"/>
      <c r="E77" s="217"/>
    </row>
    <row r="78" spans="1:5" x14ac:dyDescent="0.2">
      <c r="A78" s="214"/>
      <c r="B78" s="218"/>
      <c r="C78" s="220"/>
      <c r="D78" s="219"/>
      <c r="E78" s="221"/>
    </row>
    <row r="79" spans="1:5" x14ac:dyDescent="0.2">
      <c r="A79" s="222"/>
      <c r="B79" s="223"/>
      <c r="C79" s="220"/>
      <c r="D79" s="219"/>
      <c r="E79" s="221"/>
    </row>
    <row r="80" spans="1:5" x14ac:dyDescent="0.2">
      <c r="A80" s="224"/>
      <c r="B80" s="218"/>
      <c r="C80" s="219"/>
      <c r="D80" s="219"/>
      <c r="E80" s="221"/>
    </row>
    <row r="81" spans="1:5" x14ac:dyDescent="0.2">
      <c r="A81" s="225"/>
      <c r="B81" s="226"/>
      <c r="C81" s="227"/>
      <c r="D81" s="220"/>
      <c r="E81" s="221"/>
    </row>
    <row r="82" spans="1:5" x14ac:dyDescent="0.2">
      <c r="A82" s="225"/>
      <c r="B82" s="226"/>
      <c r="C82" s="228"/>
      <c r="D82" s="220"/>
      <c r="E82" s="221"/>
    </row>
    <row r="83" spans="1:5" x14ac:dyDescent="0.2">
      <c r="A83" s="194"/>
      <c r="B83" s="195"/>
      <c r="C83" s="219"/>
      <c r="D83" s="219"/>
      <c r="E83" s="217"/>
    </row>
    <row r="84" spans="1:5" x14ac:dyDescent="0.2">
      <c r="A84" s="194"/>
      <c r="B84" s="195"/>
      <c r="C84" s="219"/>
      <c r="D84" s="220"/>
      <c r="E84" s="221"/>
    </row>
    <row r="85" spans="1:5" x14ac:dyDescent="0.2">
      <c r="A85" s="194"/>
      <c r="B85" s="195"/>
      <c r="C85" s="219"/>
      <c r="D85" s="219"/>
      <c r="E85" s="229"/>
    </row>
    <row r="86" spans="1:5" x14ac:dyDescent="0.2">
      <c r="A86" s="194"/>
      <c r="B86" s="195"/>
      <c r="C86" s="219"/>
      <c r="D86" s="219"/>
      <c r="E86" s="221"/>
    </row>
    <row r="87" spans="1:5" x14ac:dyDescent="0.2">
      <c r="A87" s="194"/>
      <c r="B87" s="195"/>
      <c r="C87" s="219"/>
      <c r="D87" s="219"/>
      <c r="E87" s="221"/>
    </row>
    <row r="88" spans="1:5" x14ac:dyDescent="0.2">
      <c r="A88" s="194"/>
      <c r="B88" s="195"/>
      <c r="C88" s="219"/>
      <c r="D88" s="219"/>
      <c r="E88" s="230"/>
    </row>
    <row r="89" spans="1:5" x14ac:dyDescent="0.2">
      <c r="A89" s="194"/>
      <c r="B89" s="195"/>
      <c r="C89" s="219"/>
      <c r="D89" s="219"/>
      <c r="E89" s="219"/>
    </row>
    <row r="90" spans="1:5" x14ac:dyDescent="0.2">
      <c r="A90" s="194"/>
      <c r="B90" s="195"/>
      <c r="C90" s="219"/>
      <c r="D90" s="219"/>
      <c r="E90" s="219"/>
    </row>
    <row r="91" spans="1:5" x14ac:dyDescent="0.2">
      <c r="A91" s="194"/>
      <c r="B91" s="195"/>
      <c r="C91" s="219"/>
      <c r="D91" s="219"/>
      <c r="E91" s="219"/>
    </row>
    <row r="92" spans="1:5" x14ac:dyDescent="0.2">
      <c r="A92" s="194"/>
      <c r="B92" s="195"/>
      <c r="C92" s="219"/>
      <c r="D92" s="219"/>
      <c r="E92" s="219"/>
    </row>
    <row r="93" spans="1:5" x14ac:dyDescent="0.2">
      <c r="A93" s="194"/>
      <c r="B93" s="195"/>
      <c r="C93" s="219"/>
      <c r="D93" s="219"/>
      <c r="E93" s="219"/>
    </row>
    <row r="94" spans="1:5" x14ac:dyDescent="0.2">
      <c r="A94" s="194"/>
      <c r="B94" s="195"/>
      <c r="C94" s="219"/>
      <c r="D94" s="219"/>
      <c r="E94" s="219"/>
    </row>
    <row r="95" spans="1:5" x14ac:dyDescent="0.2">
      <c r="A95" s="194"/>
      <c r="B95" s="195"/>
      <c r="C95" s="219"/>
      <c r="D95" s="219"/>
      <c r="E95" s="219"/>
    </row>
    <row r="96" spans="1:5" x14ac:dyDescent="0.2">
      <c r="A96" s="194"/>
      <c r="B96" s="195"/>
      <c r="C96" s="219"/>
      <c r="D96" s="219"/>
      <c r="E96" s="219"/>
    </row>
    <row r="97" spans="1:5" x14ac:dyDescent="0.2">
      <c r="A97" s="194"/>
      <c r="B97" s="195"/>
      <c r="C97" s="219"/>
      <c r="D97" s="219"/>
      <c r="E97" s="219"/>
    </row>
    <row r="98" spans="1:5" x14ac:dyDescent="0.2">
      <c r="C98" s="232"/>
      <c r="D98" s="219"/>
      <c r="E98" s="232"/>
    </row>
    <row r="99" spans="1:5" x14ac:dyDescent="0.2">
      <c r="C99" s="172"/>
      <c r="D99" s="219"/>
      <c r="E99" s="232"/>
    </row>
    <row r="100" spans="1:5" x14ac:dyDescent="0.2">
      <c r="C100" s="172"/>
      <c r="D100" s="219"/>
      <c r="E100" s="232"/>
    </row>
    <row r="101" spans="1:5" x14ac:dyDescent="0.2">
      <c r="C101" s="172"/>
      <c r="D101" s="232"/>
      <c r="E101" s="232"/>
    </row>
    <row r="102" spans="1:5" x14ac:dyDescent="0.2">
      <c r="C102" s="172"/>
      <c r="D102" s="172"/>
      <c r="E102" s="232"/>
    </row>
    <row r="103" spans="1:5" x14ac:dyDescent="0.2">
      <c r="C103" s="172"/>
      <c r="D103" s="172"/>
      <c r="E103" s="172"/>
    </row>
    <row r="104" spans="1:5" x14ac:dyDescent="0.2">
      <c r="C104" s="172"/>
      <c r="D104" s="172"/>
      <c r="E104" s="172"/>
    </row>
    <row r="105" spans="1:5" x14ac:dyDescent="0.2">
      <c r="C105" s="172"/>
      <c r="D105" s="172"/>
      <c r="E105" s="172"/>
    </row>
    <row r="106" spans="1:5" x14ac:dyDescent="0.2">
      <c r="C106" s="172"/>
      <c r="D106" s="172"/>
      <c r="E106" s="172"/>
    </row>
    <row r="107" spans="1:5" x14ac:dyDescent="0.2">
      <c r="C107" s="172"/>
      <c r="D107" s="172"/>
      <c r="E107" s="172"/>
    </row>
    <row r="108" spans="1:5" x14ac:dyDescent="0.2">
      <c r="C108" s="172"/>
      <c r="D108" s="172"/>
      <c r="E108" s="172"/>
    </row>
    <row r="109" spans="1:5" x14ac:dyDescent="0.2">
      <c r="C109" s="172"/>
      <c r="D109" s="172"/>
      <c r="E109" s="172"/>
    </row>
    <row r="110" spans="1:5" x14ac:dyDescent="0.2">
      <c r="C110" s="172"/>
      <c r="D110" s="172"/>
      <c r="E110" s="172"/>
    </row>
    <row r="111" spans="1:5" x14ac:dyDescent="0.2">
      <c r="C111" s="172"/>
      <c r="D111" s="172"/>
      <c r="E111" s="172"/>
    </row>
    <row r="112" spans="1:5" x14ac:dyDescent="0.2">
      <c r="C112" s="172"/>
      <c r="D112" s="172"/>
      <c r="E112" s="172"/>
    </row>
    <row r="113" spans="3:5" x14ac:dyDescent="0.2">
      <c r="C113" s="172"/>
      <c r="D113" s="172"/>
      <c r="E113" s="172"/>
    </row>
    <row r="114" spans="3:5" x14ac:dyDescent="0.2">
      <c r="C114" s="172"/>
      <c r="D114" s="172"/>
      <c r="E114" s="172"/>
    </row>
    <row r="115" spans="3:5" x14ac:dyDescent="0.2">
      <c r="C115" s="172"/>
      <c r="D115" s="172"/>
      <c r="E115" s="172"/>
    </row>
    <row r="116" spans="3:5" x14ac:dyDescent="0.2">
      <c r="C116" s="172"/>
      <c r="D116" s="172"/>
      <c r="E116" s="172"/>
    </row>
    <row r="117" spans="3:5" x14ac:dyDescent="0.2">
      <c r="C117" s="172"/>
      <c r="D117" s="172"/>
      <c r="E117" s="172"/>
    </row>
    <row r="118" spans="3:5" x14ac:dyDescent="0.2">
      <c r="C118" s="172"/>
      <c r="D118" s="172"/>
      <c r="E118" s="172"/>
    </row>
    <row r="119" spans="3:5" x14ac:dyDescent="0.2">
      <c r="C119" s="172"/>
      <c r="D119" s="172"/>
      <c r="E119" s="172"/>
    </row>
    <row r="120" spans="3:5" x14ac:dyDescent="0.2">
      <c r="C120" s="172"/>
      <c r="D120" s="172"/>
      <c r="E120" s="172"/>
    </row>
    <row r="121" spans="3:5" x14ac:dyDescent="0.2">
      <c r="C121" s="172"/>
      <c r="D121" s="172"/>
      <c r="E121" s="172"/>
    </row>
    <row r="122" spans="3:5" x14ac:dyDescent="0.2">
      <c r="C122" s="172"/>
      <c r="D122" s="172"/>
      <c r="E122" s="172"/>
    </row>
    <row r="123" spans="3:5" x14ac:dyDescent="0.2">
      <c r="C123" s="172"/>
      <c r="D123" s="172"/>
      <c r="E123" s="172"/>
    </row>
    <row r="124" spans="3:5" x14ac:dyDescent="0.2">
      <c r="C124" s="172"/>
      <c r="D124" s="172"/>
      <c r="E124" s="172"/>
    </row>
    <row r="125" spans="3:5" x14ac:dyDescent="0.2">
      <c r="C125" s="172"/>
      <c r="D125" s="172"/>
      <c r="E125" s="172"/>
    </row>
    <row r="126" spans="3:5" x14ac:dyDescent="0.2">
      <c r="C126" s="172"/>
      <c r="D126" s="172"/>
      <c r="E126" s="172"/>
    </row>
    <row r="127" spans="3:5" x14ac:dyDescent="0.2">
      <c r="C127" s="172"/>
      <c r="D127" s="172"/>
      <c r="E127" s="172"/>
    </row>
    <row r="128" spans="3:5" x14ac:dyDescent="0.2">
      <c r="C128" s="172"/>
      <c r="D128" s="172"/>
      <c r="E128" s="172"/>
    </row>
    <row r="129" spans="3:5" x14ac:dyDescent="0.2">
      <c r="C129" s="172"/>
      <c r="D129" s="172"/>
      <c r="E129" s="172"/>
    </row>
    <row r="130" spans="3:5" x14ac:dyDescent="0.2">
      <c r="C130" s="172"/>
      <c r="D130" s="172"/>
      <c r="E130" s="172"/>
    </row>
    <row r="131" spans="3:5" x14ac:dyDescent="0.2">
      <c r="D131" s="172"/>
      <c r="E131" s="172"/>
    </row>
    <row r="132" spans="3:5" x14ac:dyDescent="0.2">
      <c r="D132" s="172"/>
      <c r="E132" s="172"/>
    </row>
    <row r="133" spans="3:5" x14ac:dyDescent="0.2">
      <c r="D133" s="172"/>
      <c r="E133" s="172"/>
    </row>
    <row r="134" spans="3:5" x14ac:dyDescent="0.2">
      <c r="E134" s="172"/>
    </row>
  </sheetData>
  <mergeCells count="4">
    <mergeCell ref="A1:D1"/>
    <mergeCell ref="A3:D3"/>
    <mergeCell ref="A5:D5"/>
    <mergeCell ref="C7:D7"/>
  </mergeCells>
  <printOptions horizontalCentered="1"/>
  <pageMargins left="0.35433070866141736" right="0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7" style="249" customWidth="1"/>
    <col min="2" max="2" width="35.140625" style="172" customWidth="1"/>
    <col min="3" max="3" width="16.5703125" style="172" customWidth="1"/>
    <col min="4" max="4" width="13.42578125" style="172" customWidth="1"/>
    <col min="5" max="5" width="12.5703125" style="172" customWidth="1"/>
    <col min="6" max="16384" width="9.140625" style="172"/>
  </cols>
  <sheetData>
    <row r="1" spans="1:18" s="158" customFormat="1" ht="27.75" customHeight="1" x14ac:dyDescent="0.2">
      <c r="A1" s="573"/>
      <c r="B1" s="574"/>
      <c r="C1" s="574"/>
      <c r="D1" s="574"/>
      <c r="E1" s="156"/>
      <c r="F1" s="156"/>
      <c r="G1" s="156"/>
      <c r="H1" s="156"/>
      <c r="I1" s="156"/>
      <c r="J1" s="157"/>
      <c r="K1" s="157"/>
      <c r="L1" s="157"/>
      <c r="M1" s="157"/>
      <c r="N1" s="157"/>
      <c r="O1" s="157"/>
      <c r="P1" s="157"/>
      <c r="Q1" s="157"/>
      <c r="R1" s="157"/>
    </row>
    <row r="2" spans="1:18" s="158" customFormat="1" ht="12" x14ac:dyDescent="0.2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 s="158" customFormat="1" ht="28.5" customHeight="1" x14ac:dyDescent="0.2">
      <c r="A3" s="579" t="s">
        <v>428</v>
      </c>
      <c r="B3" s="580"/>
      <c r="C3" s="580"/>
      <c r="D3" s="580"/>
      <c r="E3" s="162"/>
      <c r="F3" s="162"/>
      <c r="G3" s="162"/>
      <c r="H3" s="162"/>
      <c r="I3" s="162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158" customFormat="1" ht="12" x14ac:dyDescent="0.2">
      <c r="A4" s="163"/>
      <c r="B4" s="164"/>
      <c r="C4" s="164"/>
      <c r="D4" s="164"/>
      <c r="E4" s="164"/>
      <c r="F4" s="164"/>
      <c r="G4" s="164"/>
      <c r="H4" s="164"/>
      <c r="I4" s="164"/>
      <c r="J4" s="165"/>
      <c r="K4" s="161"/>
      <c r="L4" s="161"/>
      <c r="M4" s="161"/>
      <c r="N4" s="161"/>
      <c r="O4" s="161"/>
      <c r="P4" s="161"/>
      <c r="Q4" s="161"/>
      <c r="R4" s="161"/>
    </row>
    <row r="5" spans="1:18" s="158" customFormat="1" ht="33" customHeight="1" x14ac:dyDescent="0.25">
      <c r="A5" s="577" t="s">
        <v>313</v>
      </c>
      <c r="B5" s="578"/>
      <c r="C5" s="578"/>
      <c r="D5" s="578"/>
      <c r="E5" s="166"/>
      <c r="F5" s="166"/>
      <c r="G5" s="166"/>
      <c r="H5" s="166"/>
      <c r="I5" s="166"/>
      <c r="J5" s="167"/>
      <c r="K5" s="167"/>
      <c r="L5" s="167"/>
      <c r="M5" s="167"/>
      <c r="N5" s="167"/>
      <c r="O5" s="167"/>
      <c r="P5" s="167"/>
      <c r="Q5" s="167"/>
      <c r="R5" s="167"/>
    </row>
    <row r="6" spans="1:18" s="158" customFormat="1" ht="12" x14ac:dyDescent="0.2">
      <c r="A6" s="163"/>
      <c r="B6" s="164"/>
      <c r="C6" s="164"/>
      <c r="D6" s="164"/>
      <c r="E6" s="164"/>
      <c r="F6" s="164"/>
      <c r="G6" s="164"/>
      <c r="H6" s="164"/>
      <c r="I6" s="164"/>
      <c r="J6" s="165"/>
      <c r="K6" s="161"/>
      <c r="L6" s="161"/>
      <c r="M6" s="161"/>
      <c r="N6" s="161"/>
      <c r="O6" s="161"/>
      <c r="P6" s="161"/>
      <c r="Q6" s="161"/>
      <c r="R6" s="161"/>
    </row>
    <row r="7" spans="1:18" s="158" customFormat="1" ht="13.5" thickBot="1" x14ac:dyDescent="0.25">
      <c r="A7" s="168"/>
      <c r="B7" s="168"/>
      <c r="C7" s="568" t="s">
        <v>306</v>
      </c>
      <c r="D7" s="568"/>
      <c r="E7" s="168"/>
      <c r="F7" s="168"/>
      <c r="G7" s="168"/>
      <c r="H7" s="168"/>
      <c r="I7" s="157"/>
      <c r="J7" s="157"/>
      <c r="K7" s="157"/>
      <c r="L7" s="157"/>
      <c r="M7" s="157"/>
      <c r="N7" s="157"/>
      <c r="O7" s="157"/>
      <c r="P7" s="157"/>
      <c r="Q7" s="157"/>
      <c r="R7" s="157"/>
    </row>
    <row r="8" spans="1:18" s="158" customFormat="1" ht="13.5" thickBot="1" x14ac:dyDescent="0.25">
      <c r="A8" s="349" t="s">
        <v>53</v>
      </c>
      <c r="B8" s="350" t="s">
        <v>61</v>
      </c>
      <c r="C8" s="350" t="s">
        <v>54</v>
      </c>
      <c r="D8" s="453" t="s">
        <v>55</v>
      </c>
      <c r="E8" s="460" t="s">
        <v>56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</row>
    <row r="9" spans="1:18" ht="28.5" x14ac:dyDescent="0.25">
      <c r="A9" s="352" t="s">
        <v>265</v>
      </c>
      <c r="B9" s="293" t="s">
        <v>266</v>
      </c>
      <c r="C9" s="294" t="s">
        <v>267</v>
      </c>
      <c r="D9" s="454" t="s">
        <v>264</v>
      </c>
      <c r="E9" s="447" t="s">
        <v>410</v>
      </c>
      <c r="F9" s="295"/>
      <c r="G9" s="295"/>
      <c r="H9" s="295"/>
    </row>
    <row r="10" spans="1:18" ht="31.35" customHeight="1" x14ac:dyDescent="0.25">
      <c r="A10" s="353">
        <v>1</v>
      </c>
      <c r="B10" s="233" t="s">
        <v>268</v>
      </c>
      <c r="C10" s="457">
        <f>'3.mellékletPH.bev.'!V9</f>
        <v>121186622</v>
      </c>
      <c r="D10" s="458">
        <f>'6.melléklet.Kiadások.Önk.'!AU53</f>
        <v>121186622</v>
      </c>
      <c r="E10" s="456">
        <f>'3.mellékletPH.bev.'!X9</f>
        <v>60442677</v>
      </c>
    </row>
    <row r="11" spans="1:18" ht="31.35" customHeight="1" x14ac:dyDescent="0.25">
      <c r="A11" s="353">
        <v>2</v>
      </c>
      <c r="B11" s="234" t="s">
        <v>269</v>
      </c>
      <c r="C11" s="459">
        <f>'5. Óvoda bev'!V6</f>
        <v>183365842</v>
      </c>
      <c r="D11" s="458">
        <f>'6.melléklet.Kiadások.Önk.'!AU56</f>
        <v>184481142</v>
      </c>
      <c r="E11" s="456">
        <f>'5. Óvoda bev'!X13</f>
        <v>81933926</v>
      </c>
    </row>
    <row r="12" spans="1:18" ht="31.35" customHeight="1" x14ac:dyDescent="0.25">
      <c r="A12" s="353">
        <v>3</v>
      </c>
      <c r="B12" s="234" t="s">
        <v>270</v>
      </c>
      <c r="C12" s="459">
        <f>'4 ESZI bev'!V17</f>
        <v>182213404</v>
      </c>
      <c r="D12" s="458">
        <f ca="1">'6.melléklet.Kiadások.Önk.'!AU59</f>
        <v>193684004</v>
      </c>
      <c r="E12" s="456">
        <f>'4 ESZI bev'!X17</f>
        <v>95849203.096799999</v>
      </c>
    </row>
    <row r="13" spans="1:18" ht="16.5" thickBot="1" x14ac:dyDescent="0.3">
      <c r="A13" s="354"/>
      <c r="B13" s="355" t="s">
        <v>64</v>
      </c>
      <c r="C13" s="356">
        <f>C10+C11+C12</f>
        <v>486765868</v>
      </c>
      <c r="D13" s="455">
        <f ca="1">D10+D11+D12</f>
        <v>499351768</v>
      </c>
      <c r="E13" s="455">
        <f>E10+E11+E12</f>
        <v>238225806.0968</v>
      </c>
    </row>
    <row r="14" spans="1:18" ht="15.75" x14ac:dyDescent="0.25">
      <c r="A14" s="236"/>
      <c r="B14" s="237"/>
      <c r="C14" s="238"/>
    </row>
    <row r="15" spans="1:18" x14ac:dyDescent="0.2">
      <c r="A15" s="239"/>
      <c r="B15" s="240"/>
      <c r="C15" s="238"/>
      <c r="E15" s="235"/>
    </row>
    <row r="16" spans="1:18" x14ac:dyDescent="0.2">
      <c r="A16" s="239"/>
      <c r="B16" s="240"/>
      <c r="C16" s="238"/>
    </row>
    <row r="17" spans="1:3" x14ac:dyDescent="0.2">
      <c r="A17" s="241"/>
      <c r="B17" s="242"/>
      <c r="C17" s="238"/>
    </row>
    <row r="18" spans="1:3" x14ac:dyDescent="0.2">
      <c r="A18" s="243"/>
      <c r="B18" s="244"/>
      <c r="C18" s="238"/>
    </row>
    <row r="19" spans="1:3" x14ac:dyDescent="0.2">
      <c r="A19" s="241"/>
      <c r="B19" s="245"/>
      <c r="C19" s="238"/>
    </row>
    <row r="20" spans="1:3" x14ac:dyDescent="0.2">
      <c r="A20" s="241"/>
      <c r="B20" s="242"/>
    </row>
    <row r="21" spans="1:3" x14ac:dyDescent="0.2">
      <c r="A21" s="241"/>
      <c r="B21" s="242"/>
      <c r="C21" s="246"/>
    </row>
    <row r="22" spans="1:3" x14ac:dyDescent="0.2">
      <c r="A22" s="241"/>
      <c r="B22" s="242"/>
    </row>
    <row r="23" spans="1:3" x14ac:dyDescent="0.2">
      <c r="A23" s="241"/>
      <c r="B23" s="242"/>
      <c r="C23" s="246"/>
    </row>
    <row r="24" spans="1:3" x14ac:dyDescent="0.2">
      <c r="A24" s="241"/>
      <c r="B24" s="242"/>
    </row>
    <row r="25" spans="1:3" x14ac:dyDescent="0.2">
      <c r="A25" s="241"/>
      <c r="B25" s="242"/>
    </row>
    <row r="26" spans="1:3" x14ac:dyDescent="0.2">
      <c r="A26" s="241"/>
      <c r="B26" s="242"/>
    </row>
    <row r="27" spans="1:3" x14ac:dyDescent="0.2">
      <c r="A27" s="241"/>
      <c r="B27" s="242"/>
    </row>
    <row r="28" spans="1:3" x14ac:dyDescent="0.2">
      <c r="A28" s="241"/>
      <c r="B28" s="242"/>
    </row>
    <row r="29" spans="1:3" x14ac:dyDescent="0.2">
      <c r="A29" s="241"/>
      <c r="B29" s="242"/>
    </row>
    <row r="30" spans="1:3" x14ac:dyDescent="0.2">
      <c r="A30" s="241"/>
      <c r="B30" s="247"/>
    </row>
    <row r="31" spans="1:3" x14ac:dyDescent="0.2">
      <c r="A31" s="241"/>
      <c r="B31" s="242"/>
    </row>
    <row r="32" spans="1:3" x14ac:dyDescent="0.2">
      <c r="A32" s="248"/>
      <c r="B32" s="242"/>
    </row>
    <row r="33" spans="1:2" x14ac:dyDescent="0.2">
      <c r="A33" s="248"/>
      <c r="B33" s="242"/>
    </row>
    <row r="34" spans="1:2" x14ac:dyDescent="0.2">
      <c r="A34" s="248"/>
      <c r="B34" s="242"/>
    </row>
    <row r="35" spans="1:2" x14ac:dyDescent="0.2">
      <c r="A35" s="248"/>
      <c r="B35" s="242"/>
    </row>
    <row r="36" spans="1:2" x14ac:dyDescent="0.2">
      <c r="B36" s="242"/>
    </row>
    <row r="37" spans="1:2" x14ac:dyDescent="0.2">
      <c r="B37" s="242"/>
    </row>
    <row r="38" spans="1:2" x14ac:dyDescent="0.2">
      <c r="B38" s="242"/>
    </row>
    <row r="39" spans="1:2" x14ac:dyDescent="0.2">
      <c r="B39" s="242"/>
    </row>
    <row r="40" spans="1:2" x14ac:dyDescent="0.2">
      <c r="B40" s="242"/>
    </row>
    <row r="41" spans="1:2" x14ac:dyDescent="0.2">
      <c r="B41" s="242"/>
    </row>
    <row r="42" spans="1:2" x14ac:dyDescent="0.2">
      <c r="B42" s="242"/>
    </row>
    <row r="43" spans="1:2" x14ac:dyDescent="0.2">
      <c r="B43" s="242"/>
    </row>
    <row r="44" spans="1:2" x14ac:dyDescent="0.2">
      <c r="B44" s="242"/>
    </row>
    <row r="45" spans="1:2" x14ac:dyDescent="0.2">
      <c r="B45" s="242"/>
    </row>
    <row r="46" spans="1:2" x14ac:dyDescent="0.2">
      <c r="B46" s="242"/>
    </row>
    <row r="47" spans="1:2" x14ac:dyDescent="0.2">
      <c r="B47" s="242"/>
    </row>
    <row r="48" spans="1:2" x14ac:dyDescent="0.2">
      <c r="B48" s="242"/>
    </row>
    <row r="49" spans="2:2" x14ac:dyDescent="0.2">
      <c r="B49" s="242"/>
    </row>
    <row r="50" spans="2:2" x14ac:dyDescent="0.2">
      <c r="B50" s="242"/>
    </row>
    <row r="51" spans="2:2" x14ac:dyDescent="0.2">
      <c r="B51" s="242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S74"/>
  <sheetViews>
    <sheetView zoomScaleNormal="100" workbookViewId="0">
      <selection activeCell="G27" sqref="G27:H27"/>
    </sheetView>
  </sheetViews>
  <sheetFormatPr defaultColWidth="9.140625" defaultRowHeight="12.75" x14ac:dyDescent="0.2"/>
  <cols>
    <col min="1" max="1" width="6" style="172" customWidth="1"/>
    <col min="2" max="2" width="55.85546875" style="172" customWidth="1"/>
    <col min="3" max="3" width="12" style="172" customWidth="1"/>
    <col min="4" max="4" width="10.5703125" style="172" customWidth="1"/>
    <col min="5" max="5" width="12" style="172" customWidth="1"/>
    <col min="6" max="7" width="9.140625" style="172"/>
    <col min="8" max="8" width="22.42578125" style="172" customWidth="1"/>
    <col min="9" max="16384" width="9.140625" style="172"/>
  </cols>
  <sheetData>
    <row r="1" spans="1:19" s="158" customFormat="1" ht="27.75" customHeight="1" x14ac:dyDescent="0.2">
      <c r="A1" s="573"/>
      <c r="B1" s="574"/>
      <c r="C1" s="574"/>
      <c r="D1" s="574"/>
      <c r="E1" s="392"/>
      <c r="F1" s="156"/>
      <c r="G1" s="156"/>
      <c r="H1" s="156"/>
      <c r="I1" s="156"/>
      <c r="J1" s="156"/>
      <c r="K1" s="157"/>
      <c r="L1" s="157"/>
      <c r="M1" s="157"/>
      <c r="N1" s="157"/>
      <c r="O1" s="157"/>
      <c r="P1" s="157"/>
      <c r="Q1" s="157"/>
      <c r="R1" s="157"/>
      <c r="S1" s="157"/>
    </row>
    <row r="2" spans="1:19" s="158" customFormat="1" ht="12" x14ac:dyDescent="0.2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1"/>
    </row>
    <row r="3" spans="1:19" s="158" customFormat="1" ht="28.5" customHeight="1" x14ac:dyDescent="0.2">
      <c r="A3" s="575" t="s">
        <v>431</v>
      </c>
      <c r="B3" s="576"/>
      <c r="C3" s="576"/>
      <c r="D3" s="576"/>
      <c r="E3" s="393"/>
      <c r="F3" s="162"/>
      <c r="G3" s="162"/>
      <c r="H3" s="162"/>
      <c r="I3" s="162"/>
      <c r="J3" s="162"/>
      <c r="K3" s="157"/>
      <c r="L3" s="157"/>
      <c r="M3" s="157"/>
      <c r="N3" s="157"/>
      <c r="O3" s="157"/>
      <c r="P3" s="157"/>
      <c r="Q3" s="157"/>
      <c r="R3" s="157"/>
      <c r="S3" s="157"/>
    </row>
    <row r="4" spans="1:19" s="158" customFormat="1" ht="12" x14ac:dyDescent="0.2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5"/>
      <c r="L4" s="161"/>
      <c r="M4" s="161"/>
      <c r="N4" s="161"/>
      <c r="O4" s="161"/>
      <c r="P4" s="161"/>
      <c r="Q4" s="161"/>
      <c r="R4" s="161"/>
      <c r="S4" s="161"/>
    </row>
    <row r="5" spans="1:19" s="158" customFormat="1" ht="33" customHeight="1" x14ac:dyDescent="0.25">
      <c r="A5" s="577" t="s">
        <v>271</v>
      </c>
      <c r="B5" s="578"/>
      <c r="C5" s="578"/>
      <c r="D5" s="578"/>
      <c r="E5" s="394"/>
      <c r="F5" s="166"/>
      <c r="G5" s="166"/>
      <c r="H5" s="166"/>
      <c r="I5" s="166"/>
      <c r="J5" s="166"/>
      <c r="K5" s="167"/>
      <c r="L5" s="167"/>
      <c r="M5" s="167"/>
      <c r="N5" s="167"/>
      <c r="O5" s="167"/>
      <c r="P5" s="167"/>
      <c r="Q5" s="167"/>
      <c r="R5" s="167"/>
      <c r="S5" s="167"/>
    </row>
    <row r="6" spans="1:19" s="158" customFormat="1" ht="12" x14ac:dyDescent="0.2">
      <c r="A6" s="163"/>
      <c r="B6" s="164"/>
      <c r="C6" s="164"/>
      <c r="D6" s="164"/>
      <c r="E6" s="300"/>
      <c r="F6" s="300"/>
      <c r="G6" s="300"/>
      <c r="H6" s="300"/>
      <c r="I6" s="300"/>
      <c r="J6" s="164"/>
      <c r="K6" s="165"/>
      <c r="L6" s="161"/>
      <c r="M6" s="161"/>
      <c r="N6" s="161"/>
      <c r="O6" s="161"/>
      <c r="P6" s="161"/>
      <c r="Q6" s="161"/>
      <c r="R6" s="161"/>
      <c r="S6" s="161"/>
    </row>
    <row r="7" spans="1:19" s="158" customFormat="1" ht="13.5" thickBot="1" x14ac:dyDescent="0.25">
      <c r="A7" s="168"/>
      <c r="B7" s="168"/>
      <c r="C7" s="568" t="s">
        <v>303</v>
      </c>
      <c r="D7" s="568"/>
      <c r="E7" s="461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</row>
    <row r="8" spans="1:19" s="158" customFormat="1" ht="20.25" customHeight="1" x14ac:dyDescent="0.2">
      <c r="A8" s="349" t="s">
        <v>53</v>
      </c>
      <c r="B8" s="350" t="s">
        <v>61</v>
      </c>
      <c r="C8" s="350" t="s">
        <v>54</v>
      </c>
      <c r="D8" s="350" t="s">
        <v>55</v>
      </c>
      <c r="E8" s="351" t="s">
        <v>56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</row>
    <row r="9" spans="1:19" ht="27.75" customHeight="1" x14ac:dyDescent="0.25">
      <c r="A9" s="250"/>
      <c r="B9" s="492" t="s">
        <v>62</v>
      </c>
      <c r="C9" s="493" t="s">
        <v>310</v>
      </c>
      <c r="D9" s="494" t="s">
        <v>311</v>
      </c>
      <c r="E9" s="498" t="s">
        <v>410</v>
      </c>
    </row>
    <row r="10" spans="1:19" x14ac:dyDescent="0.2">
      <c r="A10" s="250" t="s">
        <v>272</v>
      </c>
      <c r="B10" s="251" t="s">
        <v>43</v>
      </c>
      <c r="C10" s="252"/>
      <c r="D10" s="495"/>
      <c r="E10" s="499"/>
    </row>
    <row r="11" spans="1:19" ht="15" customHeight="1" x14ac:dyDescent="0.2">
      <c r="A11" s="296" t="s">
        <v>1</v>
      </c>
      <c r="B11" s="183" t="s">
        <v>429</v>
      </c>
      <c r="C11" s="183"/>
      <c r="D11" s="183"/>
      <c r="E11" s="500">
        <v>364305</v>
      </c>
    </row>
    <row r="12" spans="1:19" x14ac:dyDescent="0.2">
      <c r="A12" s="296" t="s">
        <v>3</v>
      </c>
      <c r="B12" s="179" t="s">
        <v>64</v>
      </c>
      <c r="C12" s="179">
        <f>C11</f>
        <v>0</v>
      </c>
      <c r="D12" s="496">
        <f>D11</f>
        <v>0</v>
      </c>
      <c r="E12" s="501">
        <f>E11</f>
        <v>364305</v>
      </c>
    </row>
    <row r="13" spans="1:19" x14ac:dyDescent="0.2">
      <c r="A13" s="296" t="s">
        <v>4</v>
      </c>
      <c r="B13" s="497" t="s">
        <v>430</v>
      </c>
      <c r="C13" s="183"/>
      <c r="D13" s="176"/>
      <c r="E13" s="502">
        <v>150000</v>
      </c>
      <c r="G13" s="174"/>
      <c r="H13" s="253"/>
    </row>
    <row r="14" spans="1:19" x14ac:dyDescent="0.2">
      <c r="A14" s="296" t="s">
        <v>6</v>
      </c>
      <c r="B14" s="254" t="s">
        <v>273</v>
      </c>
      <c r="C14" s="176">
        <f>62790*12</f>
        <v>753480</v>
      </c>
      <c r="D14" s="183">
        <v>748020</v>
      </c>
      <c r="E14" s="500">
        <v>374010</v>
      </c>
      <c r="G14" s="175"/>
      <c r="H14" s="175"/>
    </row>
    <row r="15" spans="1:19" x14ac:dyDescent="0.2">
      <c r="A15" s="296" t="s">
        <v>8</v>
      </c>
      <c r="B15" s="254" t="s">
        <v>274</v>
      </c>
      <c r="C15" s="176">
        <f>309120*12</f>
        <v>3709440</v>
      </c>
      <c r="D15" s="183">
        <v>3682560</v>
      </c>
      <c r="E15" s="500">
        <v>1841280</v>
      </c>
      <c r="G15" s="175"/>
      <c r="H15" s="253"/>
    </row>
    <row r="16" spans="1:19" x14ac:dyDescent="0.2">
      <c r="A16" s="296" t="s">
        <v>19</v>
      </c>
      <c r="B16" s="254" t="s">
        <v>275</v>
      </c>
      <c r="C16" s="176">
        <f>241500*12</f>
        <v>2898000</v>
      </c>
      <c r="D16" s="183">
        <v>2877000</v>
      </c>
      <c r="E16" s="500">
        <v>1438500</v>
      </c>
      <c r="G16" s="175"/>
      <c r="H16" s="253"/>
    </row>
    <row r="17" spans="1:8" x14ac:dyDescent="0.2">
      <c r="A17" s="296" t="s">
        <v>21</v>
      </c>
      <c r="B17" s="254" t="s">
        <v>276</v>
      </c>
      <c r="C17" s="176">
        <f>38640*12</f>
        <v>463680</v>
      </c>
      <c r="D17" s="183">
        <v>460320</v>
      </c>
      <c r="E17" s="500">
        <v>230160</v>
      </c>
      <c r="G17" s="175"/>
      <c r="H17" s="253"/>
    </row>
    <row r="18" spans="1:8" ht="18" customHeight="1" x14ac:dyDescent="0.2">
      <c r="A18" s="296" t="s">
        <v>22</v>
      </c>
      <c r="B18" s="173" t="s">
        <v>277</v>
      </c>
      <c r="C18" s="183">
        <v>50000</v>
      </c>
      <c r="D18" s="183">
        <v>50000</v>
      </c>
      <c r="E18" s="500">
        <v>100000</v>
      </c>
      <c r="F18" s="255"/>
      <c r="G18" s="182"/>
      <c r="H18" s="253"/>
    </row>
    <row r="19" spans="1:8" x14ac:dyDescent="0.2">
      <c r="A19" s="296" t="s">
        <v>24</v>
      </c>
      <c r="B19" s="254" t="s">
        <v>278</v>
      </c>
      <c r="C19" s="183">
        <v>0</v>
      </c>
      <c r="D19" s="183"/>
      <c r="E19" s="500"/>
      <c r="F19" s="235"/>
      <c r="G19" s="174"/>
      <c r="H19" s="253"/>
    </row>
    <row r="20" spans="1:8" ht="25.5" x14ac:dyDescent="0.2">
      <c r="A20" s="296" t="s">
        <v>25</v>
      </c>
      <c r="B20" s="173" t="s">
        <v>279</v>
      </c>
      <c r="C20" s="183"/>
      <c r="D20" s="183"/>
      <c r="E20" s="500"/>
      <c r="G20" s="256"/>
      <c r="H20" s="257"/>
    </row>
    <row r="21" spans="1:8" ht="25.5" x14ac:dyDescent="0.2">
      <c r="A21" s="296" t="s">
        <v>26</v>
      </c>
      <c r="B21" s="173" t="s">
        <v>280</v>
      </c>
      <c r="C21" s="183">
        <v>2000000</v>
      </c>
      <c r="D21" s="183">
        <v>2000000</v>
      </c>
      <c r="E21" s="500">
        <v>2400000</v>
      </c>
      <c r="F21" s="235"/>
      <c r="G21" s="256"/>
      <c r="H21" s="257"/>
    </row>
    <row r="22" spans="1:8" x14ac:dyDescent="0.2">
      <c r="A22" s="296" t="s">
        <v>28</v>
      </c>
      <c r="B22" s="254" t="s">
        <v>281</v>
      </c>
      <c r="C22" s="183">
        <v>700000</v>
      </c>
      <c r="D22" s="183">
        <v>700000</v>
      </c>
      <c r="E22" s="500">
        <v>700000</v>
      </c>
      <c r="G22" s="256"/>
      <c r="H22" s="257"/>
    </row>
    <row r="23" spans="1:8" x14ac:dyDescent="0.2">
      <c r="A23" s="296" t="s">
        <v>29</v>
      </c>
      <c r="B23" s="254" t="s">
        <v>282</v>
      </c>
      <c r="C23" s="183">
        <v>247000</v>
      </c>
      <c r="D23" s="183">
        <v>247000</v>
      </c>
      <c r="E23" s="500">
        <v>133000</v>
      </c>
      <c r="G23" s="256"/>
      <c r="H23" s="257"/>
    </row>
    <row r="24" spans="1:8" x14ac:dyDescent="0.2">
      <c r="A24" s="296" t="s">
        <v>32</v>
      </c>
      <c r="B24" s="254" t="s">
        <v>283</v>
      </c>
      <c r="C24" s="183">
        <v>24578240</v>
      </c>
      <c r="D24" s="183">
        <v>24578240</v>
      </c>
      <c r="E24" s="500">
        <v>12630374</v>
      </c>
      <c r="G24" s="256"/>
      <c r="H24" s="196"/>
    </row>
    <row r="25" spans="1:8" x14ac:dyDescent="0.2">
      <c r="A25" s="296" t="s">
        <v>34</v>
      </c>
      <c r="B25" s="254" t="s">
        <v>314</v>
      </c>
      <c r="C25" s="183">
        <v>500000</v>
      </c>
      <c r="D25" s="183">
        <v>500000</v>
      </c>
      <c r="E25" s="500"/>
      <c r="G25" s="256"/>
      <c r="H25" s="257"/>
    </row>
    <row r="26" spans="1:8" ht="25.5" customHeight="1" x14ac:dyDescent="0.2">
      <c r="A26" s="296" t="s">
        <v>57</v>
      </c>
      <c r="B26" s="173" t="s">
        <v>284</v>
      </c>
      <c r="C26" s="183">
        <v>100000</v>
      </c>
      <c r="D26" s="183"/>
      <c r="E26" s="500"/>
      <c r="G26" s="257"/>
      <c r="H26" s="196"/>
    </row>
    <row r="27" spans="1:8" s="260" customFormat="1" x14ac:dyDescent="0.2">
      <c r="A27" s="296" t="s">
        <v>136</v>
      </c>
      <c r="B27" s="179" t="s">
        <v>64</v>
      </c>
      <c r="C27" s="179">
        <f>SUM(C13:C26)</f>
        <v>35999840</v>
      </c>
      <c r="D27" s="179">
        <f>SUM(D14:D26)</f>
        <v>35843140</v>
      </c>
      <c r="E27" s="180">
        <f>SUM(E14:E26)</f>
        <v>19847324</v>
      </c>
    </row>
    <row r="28" spans="1:8" s="260" customFormat="1" x14ac:dyDescent="0.2">
      <c r="A28" s="296" t="s">
        <v>137</v>
      </c>
      <c r="B28" s="179"/>
      <c r="C28" s="179"/>
      <c r="D28" s="496"/>
      <c r="E28" s="501"/>
    </row>
    <row r="29" spans="1:8" s="260" customFormat="1" x14ac:dyDescent="0.2">
      <c r="A29" s="296" t="s">
        <v>138</v>
      </c>
      <c r="B29" s="179" t="s">
        <v>285</v>
      </c>
      <c r="C29" s="179">
        <f>C30+C31</f>
        <v>0</v>
      </c>
      <c r="D29" s="496"/>
      <c r="E29" s="501"/>
    </row>
    <row r="30" spans="1:8" s="260" customFormat="1" x14ac:dyDescent="0.2">
      <c r="A30" s="296" t="s">
        <v>139</v>
      </c>
      <c r="B30" s="183"/>
      <c r="C30" s="179"/>
      <c r="D30" s="176"/>
      <c r="E30" s="502"/>
    </row>
    <row r="31" spans="1:8" s="260" customFormat="1" x14ac:dyDescent="0.2">
      <c r="A31" s="296" t="s">
        <v>140</v>
      </c>
      <c r="B31" s="183"/>
      <c r="C31" s="183"/>
      <c r="D31" s="176"/>
      <c r="E31" s="502"/>
    </row>
    <row r="32" spans="1:8" s="260" customFormat="1" x14ac:dyDescent="0.2">
      <c r="A32" s="296" t="s">
        <v>141</v>
      </c>
      <c r="B32" s="173"/>
      <c r="C32" s="258"/>
      <c r="D32" s="176"/>
      <c r="E32" s="502"/>
    </row>
    <row r="33" spans="1:7" s="260" customFormat="1" ht="15.75" customHeight="1" x14ac:dyDescent="0.2">
      <c r="A33" s="296" t="s">
        <v>142</v>
      </c>
      <c r="B33" s="179" t="s">
        <v>286</v>
      </c>
      <c r="C33" s="179">
        <f>C27+C29+C12</f>
        <v>35999840</v>
      </c>
      <c r="D33" s="179">
        <f>D27+D29+D12</f>
        <v>35843140</v>
      </c>
      <c r="E33" s="180">
        <f>E27+E29+E12</f>
        <v>20211629</v>
      </c>
      <c r="G33" s="261"/>
    </row>
    <row r="34" spans="1:7" s="260" customFormat="1" ht="15.75" customHeight="1" x14ac:dyDescent="0.2">
      <c r="A34" s="296" t="s">
        <v>143</v>
      </c>
      <c r="B34" s="179"/>
      <c r="C34" s="179"/>
      <c r="D34" s="496"/>
      <c r="E34" s="501"/>
      <c r="G34" s="261"/>
    </row>
    <row r="35" spans="1:7" ht="16.5" customHeight="1" x14ac:dyDescent="0.2">
      <c r="A35" s="296" t="s">
        <v>312</v>
      </c>
      <c r="B35" s="179" t="s">
        <v>287</v>
      </c>
      <c r="C35" s="183"/>
      <c r="D35" s="176"/>
      <c r="E35" s="502"/>
    </row>
    <row r="36" spans="1:7" ht="13.5" thickBot="1" x14ac:dyDescent="0.25">
      <c r="A36" s="262"/>
      <c r="B36" s="184" t="s">
        <v>288</v>
      </c>
      <c r="C36" s="184">
        <f>C33</f>
        <v>35999840</v>
      </c>
      <c r="D36" s="184">
        <f>D33</f>
        <v>35843140</v>
      </c>
      <c r="E36" s="185">
        <f>E33</f>
        <v>20211629</v>
      </c>
    </row>
    <row r="37" spans="1:7" x14ac:dyDescent="0.2">
      <c r="A37" s="196"/>
      <c r="B37" s="191"/>
      <c r="C37" s="191"/>
    </row>
    <row r="38" spans="1:7" x14ac:dyDescent="0.2">
      <c r="A38" s="196"/>
      <c r="B38" s="263"/>
      <c r="C38" s="191"/>
    </row>
    <row r="39" spans="1:7" x14ac:dyDescent="0.2">
      <c r="A39" s="196"/>
      <c r="B39" s="263"/>
      <c r="C39" s="191"/>
    </row>
    <row r="40" spans="1:7" x14ac:dyDescent="0.2">
      <c r="A40" s="196"/>
      <c r="B40" s="263"/>
      <c r="C40" s="191"/>
    </row>
    <row r="41" spans="1:7" x14ac:dyDescent="0.2">
      <c r="A41" s="196"/>
      <c r="B41" s="263"/>
      <c r="C41" s="191"/>
    </row>
    <row r="42" spans="1:7" x14ac:dyDescent="0.2">
      <c r="A42" s="196"/>
      <c r="B42" s="263"/>
      <c r="C42" s="191"/>
    </row>
    <row r="43" spans="1:7" x14ac:dyDescent="0.2">
      <c r="A43" s="196"/>
      <c r="B43" s="193"/>
      <c r="C43" s="193"/>
    </row>
    <row r="44" spans="1:7" x14ac:dyDescent="0.2">
      <c r="A44" s="196"/>
      <c r="B44" s="264"/>
      <c r="C44" s="191"/>
    </row>
    <row r="45" spans="1:7" x14ac:dyDescent="0.2">
      <c r="A45" s="196"/>
      <c r="B45" s="191"/>
      <c r="C45" s="191"/>
    </row>
    <row r="46" spans="1:7" x14ac:dyDescent="0.2">
      <c r="A46" s="199"/>
      <c r="B46" s="193"/>
      <c r="C46" s="193"/>
    </row>
    <row r="47" spans="1:7" x14ac:dyDescent="0.2">
      <c r="A47" s="196"/>
      <c r="B47" s="191"/>
      <c r="C47" s="191"/>
    </row>
    <row r="48" spans="1:7" x14ac:dyDescent="0.2">
      <c r="A48" s="196"/>
      <c r="B48" s="191"/>
      <c r="C48" s="191"/>
    </row>
    <row r="49" spans="1:3" x14ac:dyDescent="0.2">
      <c r="A49" s="196"/>
      <c r="B49" s="264"/>
      <c r="C49" s="191"/>
    </row>
    <row r="50" spans="1:3" hidden="1" x14ac:dyDescent="0.2">
      <c r="A50" s="196"/>
      <c r="B50" s="191"/>
      <c r="C50" s="191"/>
    </row>
    <row r="51" spans="1:3" x14ac:dyDescent="0.2">
      <c r="A51" s="194"/>
      <c r="B51" s="189"/>
      <c r="C51" s="191"/>
    </row>
    <row r="52" spans="1:3" x14ac:dyDescent="0.2">
      <c r="B52" s="264"/>
      <c r="C52" s="264"/>
    </row>
    <row r="53" spans="1:3" x14ac:dyDescent="0.2">
      <c r="A53" s="194"/>
      <c r="B53" s="189"/>
      <c r="C53" s="189"/>
    </row>
    <row r="54" spans="1:3" x14ac:dyDescent="0.2">
      <c r="A54" s="194"/>
      <c r="B54" s="189"/>
      <c r="C54" s="189"/>
    </row>
    <row r="55" spans="1:3" x14ac:dyDescent="0.2">
      <c r="A55" s="194"/>
      <c r="B55" s="189"/>
      <c r="C55" s="189"/>
    </row>
    <row r="56" spans="1:3" x14ac:dyDescent="0.2">
      <c r="A56" s="194"/>
      <c r="B56" s="189"/>
      <c r="C56" s="265"/>
    </row>
    <row r="57" spans="1:3" x14ac:dyDescent="0.2">
      <c r="A57" s="266"/>
      <c r="B57" s="267"/>
      <c r="C57" s="189"/>
    </row>
    <row r="58" spans="1:3" x14ac:dyDescent="0.2">
      <c r="A58" s="194"/>
      <c r="B58" s="189"/>
      <c r="C58" s="189"/>
    </row>
    <row r="59" spans="1:3" x14ac:dyDescent="0.2">
      <c r="A59" s="268"/>
      <c r="B59" s="269"/>
      <c r="C59" s="270"/>
    </row>
    <row r="60" spans="1:3" x14ac:dyDescent="0.2">
      <c r="A60" s="268"/>
      <c r="B60" s="270"/>
      <c r="C60" s="270"/>
    </row>
    <row r="61" spans="1:3" x14ac:dyDescent="0.2">
      <c r="A61" s="268"/>
      <c r="B61" s="270"/>
      <c r="C61" s="270"/>
    </row>
    <row r="62" spans="1:3" x14ac:dyDescent="0.2">
      <c r="A62" s="268"/>
      <c r="B62" s="270"/>
      <c r="C62" s="270"/>
    </row>
    <row r="63" spans="1:3" x14ac:dyDescent="0.2">
      <c r="A63" s="221"/>
      <c r="B63" s="271"/>
      <c r="C63" s="271"/>
    </row>
    <row r="64" spans="1:3" x14ac:dyDescent="0.2">
      <c r="A64" s="221"/>
      <c r="B64" s="271"/>
      <c r="C64" s="271"/>
    </row>
    <row r="65" spans="1:3" x14ac:dyDescent="0.2">
      <c r="A65" s="221"/>
      <c r="B65" s="271"/>
      <c r="C65" s="271"/>
    </row>
    <row r="66" spans="1:3" x14ac:dyDescent="0.2">
      <c r="A66" s="221"/>
      <c r="B66" s="271"/>
      <c r="C66" s="271"/>
    </row>
    <row r="67" spans="1:3" x14ac:dyDescent="0.2">
      <c r="A67" s="221"/>
      <c r="B67" s="271"/>
      <c r="C67" s="271"/>
    </row>
    <row r="68" spans="1:3" x14ac:dyDescent="0.2">
      <c r="A68" s="221"/>
      <c r="B68" s="271"/>
      <c r="C68" s="271"/>
    </row>
    <row r="69" spans="1:3" x14ac:dyDescent="0.2">
      <c r="A69" s="242"/>
      <c r="B69" s="272"/>
      <c r="C69" s="272"/>
    </row>
    <row r="70" spans="1:3" x14ac:dyDescent="0.2">
      <c r="A70" s="242"/>
      <c r="B70" s="272"/>
      <c r="C70" s="272"/>
    </row>
    <row r="71" spans="1:3" x14ac:dyDescent="0.2">
      <c r="A71" s="242"/>
      <c r="B71" s="242"/>
      <c r="C71" s="242"/>
    </row>
    <row r="72" spans="1:3" x14ac:dyDescent="0.2">
      <c r="A72" s="242"/>
      <c r="B72" s="242"/>
      <c r="C72" s="242"/>
    </row>
    <row r="73" spans="1:3" x14ac:dyDescent="0.2">
      <c r="C73" s="242"/>
    </row>
    <row r="74" spans="1:3" x14ac:dyDescent="0.2">
      <c r="C74" s="242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P48"/>
  <sheetViews>
    <sheetView showWhiteSpace="0" zoomScale="89" zoomScaleNormal="89" zoomScaleSheetLayoutView="100" workbookViewId="0">
      <pane xSplit="3" ySplit="6" topLeftCell="X19" activePane="bottomRight" state="frozen"/>
      <selection pane="topRight" activeCell="D1" sqref="D1"/>
      <selection pane="bottomLeft" activeCell="A6" sqref="A6"/>
      <selection pane="bottomRight" activeCell="AN6" sqref="AN6"/>
    </sheetView>
  </sheetViews>
  <sheetFormatPr defaultColWidth="9.28515625" defaultRowHeight="15" x14ac:dyDescent="0.25"/>
  <cols>
    <col min="1" max="1" width="7.140625" style="65" customWidth="1"/>
    <col min="2" max="2" width="11.42578125" style="3" customWidth="1"/>
    <col min="3" max="3" width="50.85546875" style="3" customWidth="1"/>
    <col min="4" max="4" width="17.42578125" style="32" bestFit="1" customWidth="1"/>
    <col min="5" max="5" width="13.7109375" style="32" customWidth="1"/>
    <col min="6" max="6" width="11.7109375" style="32" customWidth="1"/>
    <col min="7" max="7" width="15.42578125" style="32" bestFit="1" customWidth="1"/>
    <col min="8" max="8" width="12.42578125" style="32" bestFit="1" customWidth="1"/>
    <col min="9" max="9" width="12.42578125" style="32" customWidth="1"/>
    <col min="10" max="11" width="12.42578125" style="32" bestFit="1" customWidth="1"/>
    <col min="12" max="12" width="12.42578125" style="32" customWidth="1"/>
    <col min="13" max="13" width="15.42578125" style="32" bestFit="1" customWidth="1"/>
    <col min="14" max="15" width="10.85546875" style="32" customWidth="1"/>
    <col min="16" max="16" width="16.5703125" style="32" bestFit="1" customWidth="1"/>
    <col min="17" max="18" width="14" style="32" customWidth="1"/>
    <col min="19" max="19" width="12.140625" style="32" customWidth="1"/>
    <col min="20" max="20" width="11.85546875" style="32" customWidth="1"/>
    <col min="21" max="21" width="13" style="32" customWidth="1"/>
    <col min="22" max="22" width="14.85546875" style="32" bestFit="1" customWidth="1"/>
    <col min="23" max="23" width="14" style="32" customWidth="1"/>
    <col min="24" max="24" width="10.85546875" style="32" customWidth="1"/>
    <col min="25" max="25" width="11.42578125" style="32" customWidth="1"/>
    <col min="26" max="26" width="10.7109375" style="32" bestFit="1" customWidth="1"/>
    <col min="27" max="27" width="10.7109375" style="32" customWidth="1"/>
    <col min="28" max="28" width="12" style="32" customWidth="1"/>
    <col min="29" max="29" width="12.28515625" style="32" customWidth="1"/>
    <col min="30" max="30" width="11.7109375" style="32" customWidth="1"/>
    <col min="31" max="31" width="15.140625" style="32" customWidth="1"/>
    <col min="32" max="32" width="12.42578125" style="32" bestFit="1" customWidth="1"/>
    <col min="33" max="33" width="12" style="32" customWidth="1"/>
    <col min="34" max="34" width="15.42578125" style="32" bestFit="1" customWidth="1"/>
    <col min="35" max="35" width="12.42578125" style="32" customWidth="1"/>
    <col min="36" max="36" width="11.85546875" style="32" customWidth="1"/>
    <col min="37" max="37" width="14.28515625" style="32" bestFit="1" customWidth="1"/>
    <col min="38" max="38" width="14" style="3" customWidth="1"/>
    <col min="39" max="39" width="15.140625" style="3" customWidth="1"/>
    <col min="40" max="40" width="13.5703125" style="3" bestFit="1" customWidth="1"/>
    <col min="41" max="16384" width="9.28515625" style="3"/>
  </cols>
  <sheetData>
    <row r="1" spans="1:42" s="298" customFormat="1" ht="28.5" customHeight="1" x14ac:dyDescent="0.3">
      <c r="A1" s="320"/>
      <c r="D1" s="299"/>
      <c r="E1" s="299"/>
      <c r="F1" s="299"/>
      <c r="G1" s="299"/>
      <c r="H1" s="299"/>
      <c r="I1" s="299"/>
      <c r="J1" s="299"/>
      <c r="K1" s="299"/>
      <c r="L1" s="299"/>
      <c r="M1" s="299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299"/>
      <c r="AJ1" s="299"/>
      <c r="AK1" s="299"/>
    </row>
    <row r="2" spans="1:42" ht="26.25" customHeight="1" x14ac:dyDescent="0.3">
      <c r="A2" s="303"/>
      <c r="B2" s="303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AB2" s="32" t="s">
        <v>418</v>
      </c>
    </row>
    <row r="3" spans="1:42" ht="45.75" customHeight="1" x14ac:dyDescent="0.25">
      <c r="A3" s="64"/>
      <c r="B3" s="488"/>
      <c r="C3" s="511" t="s">
        <v>358</v>
      </c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2"/>
      <c r="AA3" s="512"/>
      <c r="AB3" s="512"/>
      <c r="AC3" s="512"/>
      <c r="AD3" s="512"/>
      <c r="AE3" s="512"/>
      <c r="AF3" s="512"/>
      <c r="AG3" s="512"/>
      <c r="AH3" s="512"/>
      <c r="AI3" s="512"/>
      <c r="AJ3" s="512"/>
      <c r="AK3" s="512"/>
      <c r="AL3" s="512"/>
      <c r="AM3" s="490"/>
    </row>
    <row r="4" spans="1:42" ht="45.75" customHeight="1" x14ac:dyDescent="0.25">
      <c r="A4" s="482" t="s">
        <v>53</v>
      </c>
      <c r="B4" s="489" t="s">
        <v>61</v>
      </c>
      <c r="C4" s="483" t="s">
        <v>54</v>
      </c>
      <c r="D4" s="509" t="s">
        <v>55</v>
      </c>
      <c r="E4" s="510"/>
      <c r="F4" s="485"/>
      <c r="G4" s="483" t="s">
        <v>56</v>
      </c>
      <c r="H4" s="485"/>
      <c r="I4" s="485"/>
      <c r="J4" s="509" t="s">
        <v>63</v>
      </c>
      <c r="K4" s="510"/>
      <c r="L4" s="485"/>
      <c r="M4" s="509" t="s">
        <v>65</v>
      </c>
      <c r="N4" s="510"/>
      <c r="O4" s="485"/>
      <c r="P4" s="509" t="s">
        <v>66</v>
      </c>
      <c r="Q4" s="510"/>
      <c r="R4" s="485"/>
      <c r="S4" s="509" t="s">
        <v>67</v>
      </c>
      <c r="T4" s="510"/>
      <c r="U4" s="485"/>
      <c r="V4" s="509" t="s">
        <v>68</v>
      </c>
      <c r="W4" s="510"/>
      <c r="X4" s="485"/>
      <c r="Y4" s="509" t="s">
        <v>99</v>
      </c>
      <c r="Z4" s="510"/>
      <c r="AA4" s="485"/>
      <c r="AB4" s="509" t="s">
        <v>93</v>
      </c>
      <c r="AC4" s="510"/>
      <c r="AD4" s="485"/>
      <c r="AE4" s="509" t="s">
        <v>180</v>
      </c>
      <c r="AF4" s="510"/>
      <c r="AG4" s="485"/>
      <c r="AH4" s="509" t="s">
        <v>94</v>
      </c>
      <c r="AI4" s="510"/>
      <c r="AJ4" s="485"/>
      <c r="AK4" s="509" t="s">
        <v>181</v>
      </c>
      <c r="AL4" s="510"/>
      <c r="AM4" s="487"/>
    </row>
    <row r="5" spans="1:42" ht="63.75" customHeight="1" x14ac:dyDescent="0.25">
      <c r="A5" s="64" t="s">
        <v>1</v>
      </c>
      <c r="B5" s="24" t="s">
        <v>69</v>
      </c>
      <c r="C5" s="372" t="s">
        <v>70</v>
      </c>
      <c r="D5" s="507" t="s">
        <v>59</v>
      </c>
      <c r="E5" s="508"/>
      <c r="F5" s="484"/>
      <c r="G5" s="507" t="s">
        <v>58</v>
      </c>
      <c r="H5" s="508"/>
      <c r="I5" s="484"/>
      <c r="J5" s="507" t="s">
        <v>71</v>
      </c>
      <c r="K5" s="508"/>
      <c r="L5" s="484"/>
      <c r="M5" s="507" t="s">
        <v>126</v>
      </c>
      <c r="N5" s="508"/>
      <c r="O5" s="484"/>
      <c r="P5" s="507" t="s">
        <v>72</v>
      </c>
      <c r="Q5" s="508"/>
      <c r="R5" s="484"/>
      <c r="S5" s="507" t="s">
        <v>73</v>
      </c>
      <c r="T5" s="508"/>
      <c r="U5" s="484"/>
      <c r="V5" s="507" t="s">
        <v>228</v>
      </c>
      <c r="W5" s="508"/>
      <c r="X5" s="484"/>
      <c r="Y5" s="507" t="s">
        <v>383</v>
      </c>
      <c r="Z5" s="508"/>
      <c r="AA5" s="484"/>
      <c r="AB5" s="507" t="s">
        <v>385</v>
      </c>
      <c r="AC5" s="508"/>
      <c r="AD5" s="484"/>
      <c r="AE5" s="507" t="s">
        <v>128</v>
      </c>
      <c r="AF5" s="508"/>
      <c r="AG5" s="484"/>
      <c r="AH5" s="507" t="s">
        <v>75</v>
      </c>
      <c r="AI5" s="508"/>
      <c r="AJ5" s="484"/>
      <c r="AK5" s="507" t="s">
        <v>76</v>
      </c>
      <c r="AL5" s="508"/>
      <c r="AM5" s="486"/>
    </row>
    <row r="6" spans="1:42" s="29" customFormat="1" ht="51" customHeight="1" x14ac:dyDescent="0.25">
      <c r="A6" s="64" t="s">
        <v>3</v>
      </c>
      <c r="B6" s="26"/>
      <c r="C6" s="25" t="s">
        <v>62</v>
      </c>
      <c r="D6" s="373" t="s">
        <v>356</v>
      </c>
      <c r="E6" s="374" t="s">
        <v>345</v>
      </c>
      <c r="F6" s="374" t="s">
        <v>405</v>
      </c>
      <c r="G6" s="373" t="s">
        <v>356</v>
      </c>
      <c r="H6" s="374" t="s">
        <v>345</v>
      </c>
      <c r="I6" s="374" t="s">
        <v>405</v>
      </c>
      <c r="J6" s="373" t="s">
        <v>356</v>
      </c>
      <c r="K6" s="374" t="s">
        <v>345</v>
      </c>
      <c r="L6" s="374" t="s">
        <v>405</v>
      </c>
      <c r="M6" s="373" t="s">
        <v>356</v>
      </c>
      <c r="N6" s="374" t="s">
        <v>345</v>
      </c>
      <c r="O6" s="374" t="s">
        <v>405</v>
      </c>
      <c r="P6" s="373" t="s">
        <v>356</v>
      </c>
      <c r="Q6" s="374" t="s">
        <v>345</v>
      </c>
      <c r="R6" s="374" t="s">
        <v>405</v>
      </c>
      <c r="S6" s="373" t="s">
        <v>356</v>
      </c>
      <c r="T6" s="374" t="s">
        <v>345</v>
      </c>
      <c r="U6" s="374" t="s">
        <v>405</v>
      </c>
      <c r="V6" s="373" t="s">
        <v>356</v>
      </c>
      <c r="W6" s="374" t="s">
        <v>345</v>
      </c>
      <c r="X6" s="374" t="s">
        <v>405</v>
      </c>
      <c r="Y6" s="373" t="s">
        <v>356</v>
      </c>
      <c r="Z6" s="374" t="s">
        <v>345</v>
      </c>
      <c r="AA6" s="374" t="s">
        <v>405</v>
      </c>
      <c r="AB6" s="373" t="s">
        <v>356</v>
      </c>
      <c r="AC6" s="374" t="s">
        <v>345</v>
      </c>
      <c r="AD6" s="374" t="s">
        <v>405</v>
      </c>
      <c r="AE6" s="373" t="s">
        <v>356</v>
      </c>
      <c r="AF6" s="374" t="s">
        <v>345</v>
      </c>
      <c r="AG6" s="374" t="s">
        <v>405</v>
      </c>
      <c r="AH6" s="373" t="s">
        <v>356</v>
      </c>
      <c r="AI6" s="374" t="s">
        <v>345</v>
      </c>
      <c r="AJ6" s="374" t="s">
        <v>405</v>
      </c>
      <c r="AK6" s="373" t="s">
        <v>356</v>
      </c>
      <c r="AL6" s="374" t="s">
        <v>345</v>
      </c>
      <c r="AM6" s="374" t="s">
        <v>405</v>
      </c>
      <c r="AN6" s="41"/>
      <c r="AO6" s="41"/>
      <c r="AP6" s="41"/>
    </row>
    <row r="7" spans="1:42" s="29" customFormat="1" ht="15.75" customHeight="1" x14ac:dyDescent="0.25">
      <c r="A7" s="64" t="s">
        <v>4</v>
      </c>
      <c r="B7" s="26" t="s">
        <v>77</v>
      </c>
      <c r="C7" s="2" t="s">
        <v>302</v>
      </c>
      <c r="D7" s="122">
        <v>600000</v>
      </c>
      <c r="E7" s="112">
        <f>D7</f>
        <v>600000</v>
      </c>
      <c r="F7" s="112">
        <v>359582</v>
      </c>
      <c r="G7" s="118"/>
      <c r="H7" s="14"/>
      <c r="I7" s="14"/>
      <c r="J7" s="118"/>
      <c r="K7" s="14"/>
      <c r="L7" s="14"/>
      <c r="M7" s="118"/>
      <c r="N7" s="14"/>
      <c r="O7" s="14"/>
      <c r="P7" s="118"/>
      <c r="Q7" s="14"/>
      <c r="R7" s="14"/>
      <c r="S7" s="123"/>
      <c r="T7" s="14"/>
      <c r="U7" s="14"/>
      <c r="V7" s="124">
        <v>1225900</v>
      </c>
      <c r="W7" s="378">
        <f>V7</f>
        <v>1225900</v>
      </c>
      <c r="X7" s="378"/>
      <c r="Y7" s="118"/>
      <c r="Z7" s="14"/>
      <c r="AA7" s="14"/>
      <c r="AB7" s="123"/>
      <c r="AC7" s="14"/>
      <c r="AD7" s="14">
        <v>4581176</v>
      </c>
      <c r="AE7" s="118"/>
      <c r="AF7" s="14"/>
      <c r="AG7" s="14"/>
      <c r="AH7" s="118"/>
      <c r="AI7" s="14"/>
      <c r="AJ7" s="14"/>
      <c r="AK7" s="73">
        <f t="shared" ref="AK7:AK13" si="0">D7+G7+J7+P7+S7+Y7+AH7+M7+AB7+AE7+V7</f>
        <v>1825900</v>
      </c>
      <c r="AL7" s="73">
        <f t="shared" ref="AL7:AL13" si="1">E7+H7+K7+N7+Q7+T7+Z7+AF7+AI7+W7</f>
        <v>1825900</v>
      </c>
      <c r="AM7" s="377">
        <f>F7+I7+L7+O7+R7+U7+X7+AA7+AG7+AJ7+AD7</f>
        <v>4940758</v>
      </c>
      <c r="AN7" s="41"/>
      <c r="AO7" s="41"/>
      <c r="AP7" s="41"/>
    </row>
    <row r="8" spans="1:42" s="29" customFormat="1" ht="15.75" customHeight="1" x14ac:dyDescent="0.25">
      <c r="A8" s="64" t="s">
        <v>6</v>
      </c>
      <c r="B8" s="26" t="s">
        <v>78</v>
      </c>
      <c r="C8" s="2" t="s">
        <v>318</v>
      </c>
      <c r="D8" s="122">
        <v>13146913</v>
      </c>
      <c r="E8" s="112">
        <f t="shared" ref="E8:E20" si="2">D8</f>
        <v>13146913</v>
      </c>
      <c r="F8" s="112">
        <v>7665031</v>
      </c>
      <c r="G8" s="123"/>
      <c r="H8" s="14"/>
      <c r="I8" s="14"/>
      <c r="J8" s="120"/>
      <c r="K8" s="14"/>
      <c r="L8" s="14"/>
      <c r="M8" s="120"/>
      <c r="N8" s="14"/>
      <c r="O8" s="14"/>
      <c r="P8" s="120"/>
      <c r="Q8" s="14"/>
      <c r="R8" s="14"/>
      <c r="S8" s="120"/>
      <c r="T8" s="14"/>
      <c r="U8" s="14"/>
      <c r="V8" s="14"/>
      <c r="W8" s="15"/>
      <c r="X8" s="15"/>
      <c r="Y8" s="120"/>
      <c r="Z8" s="14"/>
      <c r="AA8" s="14"/>
      <c r="AB8" s="123"/>
      <c r="AC8" s="14"/>
      <c r="AD8" s="14"/>
      <c r="AE8" s="120"/>
      <c r="AF8" s="14"/>
      <c r="AG8" s="14"/>
      <c r="AH8" s="120"/>
      <c r="AI8" s="14"/>
      <c r="AJ8" s="14"/>
      <c r="AK8" s="73">
        <f t="shared" si="0"/>
        <v>13146913</v>
      </c>
      <c r="AL8" s="73">
        <f t="shared" si="1"/>
        <v>13146913</v>
      </c>
      <c r="AM8" s="377">
        <f t="shared" ref="AM8:AM40" si="3">F8+I8+L8+O8+R8+U8+X8+AA8+AG8+AJ8+AD8</f>
        <v>7665031</v>
      </c>
      <c r="AN8" s="41"/>
      <c r="AO8" s="41"/>
      <c r="AP8" s="41"/>
    </row>
    <row r="9" spans="1:42" s="29" customFormat="1" ht="15.75" customHeight="1" x14ac:dyDescent="0.25">
      <c r="A9" s="64" t="s">
        <v>8</v>
      </c>
      <c r="B9" s="26" t="s">
        <v>78</v>
      </c>
      <c r="C9" s="2" t="s">
        <v>319</v>
      </c>
      <c r="D9" s="122">
        <v>2032000</v>
      </c>
      <c r="E9" s="112">
        <f t="shared" si="2"/>
        <v>2032000</v>
      </c>
      <c r="F9" s="112">
        <v>798486</v>
      </c>
      <c r="G9" s="120"/>
      <c r="H9" s="14"/>
      <c r="I9" s="14"/>
      <c r="J9" s="120"/>
      <c r="K9" s="14"/>
      <c r="L9" s="14"/>
      <c r="M9" s="120"/>
      <c r="N9" s="14"/>
      <c r="O9" s="14"/>
      <c r="P9" s="120"/>
      <c r="Q9" s="112">
        <f>31577250</f>
        <v>31577250</v>
      </c>
      <c r="R9" s="112">
        <v>24059653</v>
      </c>
      <c r="S9" s="120"/>
      <c r="T9" s="14"/>
      <c r="U9" s="14"/>
      <c r="V9" s="14"/>
      <c r="W9" s="15"/>
      <c r="X9" s="15"/>
      <c r="Y9" s="120"/>
      <c r="Z9" s="14"/>
      <c r="AA9" s="14"/>
      <c r="AB9" s="123"/>
      <c r="AC9" s="14"/>
      <c r="AD9" s="14"/>
      <c r="AE9" s="120"/>
      <c r="AF9" s="14"/>
      <c r="AG9" s="14"/>
      <c r="AH9" s="120"/>
      <c r="AI9" s="14"/>
      <c r="AJ9" s="14"/>
      <c r="AK9" s="73">
        <f t="shared" si="0"/>
        <v>2032000</v>
      </c>
      <c r="AL9" s="73">
        <f t="shared" si="1"/>
        <v>33609250</v>
      </c>
      <c r="AM9" s="377">
        <f t="shared" si="3"/>
        <v>24858139</v>
      </c>
      <c r="AN9" s="41"/>
      <c r="AO9" s="41"/>
      <c r="AP9" s="41"/>
    </row>
    <row r="10" spans="1:42" s="29" customFormat="1" ht="15.75" customHeight="1" x14ac:dyDescent="0.25">
      <c r="A10" s="64" t="s">
        <v>19</v>
      </c>
      <c r="B10" s="26" t="s">
        <v>78</v>
      </c>
      <c r="C10" s="2" t="s">
        <v>331</v>
      </c>
      <c r="D10" s="122"/>
      <c r="E10" s="112">
        <f t="shared" si="2"/>
        <v>0</v>
      </c>
      <c r="F10" s="112"/>
      <c r="G10" s="330"/>
      <c r="H10" s="14"/>
      <c r="I10" s="14"/>
      <c r="J10" s="330"/>
      <c r="K10" s="14"/>
      <c r="L10" s="14"/>
      <c r="M10" s="330"/>
      <c r="N10" s="14"/>
      <c r="O10" s="14"/>
      <c r="P10" s="330"/>
      <c r="Q10" s="112"/>
      <c r="R10" s="112"/>
      <c r="S10" s="330"/>
      <c r="T10" s="14"/>
      <c r="U10" s="14"/>
      <c r="V10" s="14"/>
      <c r="W10" s="15"/>
      <c r="X10" s="15"/>
      <c r="Y10" s="330"/>
      <c r="Z10" s="14"/>
      <c r="AA10" s="14"/>
      <c r="AB10" s="123"/>
      <c r="AC10" s="14"/>
      <c r="AD10" s="14"/>
      <c r="AE10" s="330"/>
      <c r="AF10" s="14"/>
      <c r="AG10" s="14"/>
      <c r="AH10" s="330"/>
      <c r="AI10" s="14"/>
      <c r="AJ10" s="14"/>
      <c r="AK10" s="73">
        <f t="shared" si="0"/>
        <v>0</v>
      </c>
      <c r="AL10" s="73">
        <f t="shared" si="1"/>
        <v>0</v>
      </c>
      <c r="AM10" s="377">
        <f t="shared" si="3"/>
        <v>0</v>
      </c>
      <c r="AN10" s="41"/>
      <c r="AO10" s="41"/>
      <c r="AP10" s="41"/>
    </row>
    <row r="11" spans="1:42" s="29" customFormat="1" ht="15.75" customHeight="1" x14ac:dyDescent="0.25">
      <c r="A11" s="64" t="s">
        <v>21</v>
      </c>
      <c r="B11" s="26" t="s">
        <v>78</v>
      </c>
      <c r="C11" s="2" t="s">
        <v>320</v>
      </c>
      <c r="D11" s="122">
        <v>11650000</v>
      </c>
      <c r="E11" s="112">
        <f t="shared" si="2"/>
        <v>11650000</v>
      </c>
      <c r="F11" s="112"/>
      <c r="G11" s="120"/>
      <c r="H11" s="14"/>
      <c r="I11" s="14"/>
      <c r="J11" s="120"/>
      <c r="K11" s="14"/>
      <c r="L11" s="14"/>
      <c r="M11" s="120"/>
      <c r="N11" s="14"/>
      <c r="O11" s="14"/>
      <c r="P11" s="344">
        <v>1100000</v>
      </c>
      <c r="Q11" s="112">
        <f>P11</f>
        <v>1100000</v>
      </c>
      <c r="R11" s="112">
        <v>21094</v>
      </c>
      <c r="S11" s="120"/>
      <c r="T11" s="14"/>
      <c r="U11" s="14"/>
      <c r="V11" s="14"/>
      <c r="W11" s="15"/>
      <c r="X11" s="15"/>
      <c r="Y11" s="337"/>
      <c r="Z11" s="14"/>
      <c r="AA11" s="14"/>
      <c r="AB11" s="123"/>
      <c r="AC11" s="14"/>
      <c r="AD11" s="14"/>
      <c r="AE11" s="120"/>
      <c r="AF11" s="14"/>
      <c r="AG11" s="14"/>
      <c r="AH11" s="120"/>
      <c r="AI11" s="14"/>
      <c r="AJ11" s="14"/>
      <c r="AK11" s="73">
        <f t="shared" si="0"/>
        <v>12750000</v>
      </c>
      <c r="AL11" s="73">
        <f t="shared" si="1"/>
        <v>12750000</v>
      </c>
      <c r="AM11" s="377">
        <f t="shared" si="3"/>
        <v>21094</v>
      </c>
      <c r="AN11" s="41"/>
      <c r="AO11" s="41"/>
      <c r="AP11" s="41"/>
    </row>
    <row r="12" spans="1:42" s="29" customFormat="1" ht="15.75" customHeight="1" x14ac:dyDescent="0.25">
      <c r="A12" s="64" t="s">
        <v>22</v>
      </c>
      <c r="B12" s="26" t="s">
        <v>82</v>
      </c>
      <c r="C12" s="2" t="s">
        <v>338</v>
      </c>
      <c r="D12" s="122"/>
      <c r="E12" s="112">
        <f t="shared" si="2"/>
        <v>0</v>
      </c>
      <c r="F12" s="112"/>
      <c r="G12" s="331"/>
      <c r="H12" s="14"/>
      <c r="I12" s="14"/>
      <c r="J12" s="331"/>
      <c r="K12" s="14"/>
      <c r="L12" s="14"/>
      <c r="M12" s="331"/>
      <c r="N12" s="14"/>
      <c r="O12" s="14"/>
      <c r="P12" s="331"/>
      <c r="Q12" s="112">
        <f t="shared" ref="Q12:Q19" si="4">P12</f>
        <v>0</v>
      </c>
      <c r="R12" s="112"/>
      <c r="S12" s="331"/>
      <c r="T12" s="14"/>
      <c r="U12" s="14"/>
      <c r="V12" s="112">
        <v>1224000</v>
      </c>
      <c r="W12" s="112">
        <f>V12</f>
        <v>1224000</v>
      </c>
      <c r="X12" s="112">
        <v>698995</v>
      </c>
      <c r="Y12" s="331"/>
      <c r="Z12" s="14"/>
      <c r="AA12" s="14"/>
      <c r="AB12" s="123"/>
      <c r="AC12" s="14"/>
      <c r="AD12" s="14"/>
      <c r="AE12" s="331"/>
      <c r="AF12" s="14"/>
      <c r="AG12" s="14"/>
      <c r="AH12" s="331"/>
      <c r="AI12" s="14"/>
      <c r="AJ12" s="14"/>
      <c r="AK12" s="73">
        <f t="shared" si="0"/>
        <v>1224000</v>
      </c>
      <c r="AL12" s="73">
        <f t="shared" si="1"/>
        <v>1224000</v>
      </c>
      <c r="AM12" s="377">
        <f t="shared" si="3"/>
        <v>698995</v>
      </c>
      <c r="AN12" s="41"/>
      <c r="AO12" s="41"/>
      <c r="AP12" s="41"/>
    </row>
    <row r="13" spans="1:42" s="29" customFormat="1" ht="15.75" customHeight="1" x14ac:dyDescent="0.25">
      <c r="A13" s="64" t="s">
        <v>24</v>
      </c>
      <c r="B13" s="26" t="s">
        <v>78</v>
      </c>
      <c r="C13" s="2" t="s">
        <v>321</v>
      </c>
      <c r="D13" s="122"/>
      <c r="E13" s="112">
        <f t="shared" si="2"/>
        <v>0</v>
      </c>
      <c r="F13" s="112"/>
      <c r="G13" s="123"/>
      <c r="H13" s="14"/>
      <c r="I13" s="14"/>
      <c r="J13" s="121"/>
      <c r="K13" s="14"/>
      <c r="L13" s="14"/>
      <c r="M13" s="121"/>
      <c r="N13" s="14"/>
      <c r="O13" s="14"/>
      <c r="P13" s="121"/>
      <c r="Q13" s="112">
        <f t="shared" si="4"/>
        <v>0</v>
      </c>
      <c r="R13" s="112"/>
      <c r="S13" s="121"/>
      <c r="T13" s="14"/>
      <c r="U13" s="14"/>
      <c r="V13" s="112"/>
      <c r="W13" s="15"/>
      <c r="X13" s="15"/>
      <c r="Y13" s="123"/>
      <c r="Z13" s="128"/>
      <c r="AA13" s="128"/>
      <c r="AB13" s="123"/>
      <c r="AC13" s="14"/>
      <c r="AD13" s="14"/>
      <c r="AE13" s="121"/>
      <c r="AF13" s="14"/>
      <c r="AG13" s="14"/>
      <c r="AH13" s="121"/>
      <c r="AI13" s="14"/>
      <c r="AJ13" s="14"/>
      <c r="AK13" s="73">
        <f t="shared" si="0"/>
        <v>0</v>
      </c>
      <c r="AL13" s="73">
        <f t="shared" si="1"/>
        <v>0</v>
      </c>
      <c r="AM13" s="377">
        <f t="shared" si="3"/>
        <v>0</v>
      </c>
      <c r="AN13" s="41"/>
      <c r="AO13" s="41"/>
      <c r="AP13" s="41"/>
    </row>
    <row r="14" spans="1:42" s="29" customFormat="1" ht="15.75" customHeight="1" x14ac:dyDescent="0.25">
      <c r="A14" s="64" t="s">
        <v>25</v>
      </c>
      <c r="B14" s="26" t="s">
        <v>82</v>
      </c>
      <c r="C14" s="338" t="s">
        <v>384</v>
      </c>
      <c r="D14" s="122">
        <v>885825</v>
      </c>
      <c r="E14" s="112">
        <f t="shared" si="2"/>
        <v>885825</v>
      </c>
      <c r="F14" s="112">
        <v>230247</v>
      </c>
      <c r="G14" s="123"/>
      <c r="H14" s="14"/>
      <c r="I14" s="14"/>
      <c r="J14" s="336"/>
      <c r="K14" s="14"/>
      <c r="L14" s="14"/>
      <c r="M14" s="336"/>
      <c r="N14" s="14"/>
      <c r="O14" s="14"/>
      <c r="P14" s="336"/>
      <c r="Q14" s="112">
        <f t="shared" si="4"/>
        <v>0</v>
      </c>
      <c r="R14" s="112"/>
      <c r="S14" s="336"/>
      <c r="T14" s="14"/>
      <c r="U14" s="14"/>
      <c r="V14" s="112"/>
      <c r="W14" s="15"/>
      <c r="X14" s="15"/>
      <c r="Y14" s="123"/>
      <c r="Z14" s="128"/>
      <c r="AA14" s="128"/>
      <c r="AB14" s="123"/>
      <c r="AC14" s="14"/>
      <c r="AD14" s="14"/>
      <c r="AE14" s="336"/>
      <c r="AF14" s="14"/>
      <c r="AG14" s="14"/>
      <c r="AH14" s="336"/>
      <c r="AI14" s="14"/>
      <c r="AJ14" s="14"/>
      <c r="AK14" s="73">
        <f t="shared" ref="AK14:AK24" si="5">D14+G14+J14+P14+S14+Y14+AH14+M14+AB14+AE14+V14</f>
        <v>885825</v>
      </c>
      <c r="AL14" s="73">
        <f t="shared" ref="AL14:AL24" si="6">E14+H14+K14+N14+Q14+T14+Z14+AF14+AI14+W14</f>
        <v>885825</v>
      </c>
      <c r="AM14" s="377">
        <f t="shared" si="3"/>
        <v>230247</v>
      </c>
      <c r="AN14" s="41"/>
      <c r="AO14" s="41"/>
      <c r="AP14" s="41"/>
    </row>
    <row r="15" spans="1:42" s="29" customFormat="1" ht="15.75" customHeight="1" x14ac:dyDescent="0.25">
      <c r="A15" s="64" t="s">
        <v>26</v>
      </c>
      <c r="B15" s="26" t="s">
        <v>78</v>
      </c>
      <c r="C15" s="2" t="s">
        <v>322</v>
      </c>
      <c r="D15" s="122"/>
      <c r="E15" s="112">
        <f t="shared" si="2"/>
        <v>0</v>
      </c>
      <c r="F15" s="112"/>
      <c r="G15" s="123"/>
      <c r="H15" s="14"/>
      <c r="I15" s="14"/>
      <c r="J15" s="327"/>
      <c r="K15" s="14"/>
      <c r="L15" s="14"/>
      <c r="M15" s="327"/>
      <c r="N15" s="14"/>
      <c r="O15" s="14"/>
      <c r="P15" s="327"/>
      <c r="Q15" s="112">
        <f t="shared" si="4"/>
        <v>0</v>
      </c>
      <c r="R15" s="112"/>
      <c r="S15" s="327"/>
      <c r="T15" s="112">
        <v>184343840</v>
      </c>
      <c r="U15" s="112">
        <v>36913962</v>
      </c>
      <c r="V15" s="112"/>
      <c r="W15" s="112"/>
      <c r="X15" s="112"/>
      <c r="Y15" s="123"/>
      <c r="Z15" s="128"/>
      <c r="AA15" s="128"/>
      <c r="AB15" s="123"/>
      <c r="AC15" s="14"/>
      <c r="AD15" s="14"/>
      <c r="AE15" s="327"/>
      <c r="AF15" s="14"/>
      <c r="AG15" s="14"/>
      <c r="AH15" s="327"/>
      <c r="AI15" s="14"/>
      <c r="AJ15" s="14"/>
      <c r="AK15" s="73">
        <f t="shared" si="5"/>
        <v>0</v>
      </c>
      <c r="AL15" s="73">
        <f t="shared" si="6"/>
        <v>184343840</v>
      </c>
      <c r="AM15" s="377">
        <f t="shared" si="3"/>
        <v>36913962</v>
      </c>
      <c r="AN15" s="41"/>
      <c r="AO15" s="41"/>
      <c r="AP15" s="41"/>
    </row>
    <row r="16" spans="1:42" s="29" customFormat="1" ht="15.75" customHeight="1" x14ac:dyDescent="0.25">
      <c r="A16" s="64" t="s">
        <v>28</v>
      </c>
      <c r="B16" s="26" t="s">
        <v>77</v>
      </c>
      <c r="C16" s="2" t="s">
        <v>323</v>
      </c>
      <c r="D16" s="122">
        <v>10962513</v>
      </c>
      <c r="E16" s="112">
        <f t="shared" si="2"/>
        <v>10962513</v>
      </c>
      <c r="F16" s="112">
        <v>8542490</v>
      </c>
      <c r="G16" s="123"/>
      <c r="H16" s="14"/>
      <c r="I16" s="14"/>
      <c r="J16" s="327"/>
      <c r="K16" s="14"/>
      <c r="L16" s="14"/>
      <c r="M16" s="327"/>
      <c r="N16" s="14"/>
      <c r="O16" s="14"/>
      <c r="P16" s="327"/>
      <c r="Q16" s="112">
        <f t="shared" si="4"/>
        <v>0</v>
      </c>
      <c r="R16" s="112"/>
      <c r="S16" s="327"/>
      <c r="T16" s="14"/>
      <c r="U16" s="14"/>
      <c r="V16" s="112">
        <v>7622400</v>
      </c>
      <c r="W16" s="112">
        <f>V16</f>
        <v>7622400</v>
      </c>
      <c r="X16" s="112">
        <v>5441600</v>
      </c>
      <c r="Y16" s="123">
        <v>2000000</v>
      </c>
      <c r="Z16" s="112">
        <f>Y16</f>
        <v>2000000</v>
      </c>
      <c r="AA16" s="112">
        <v>2000000</v>
      </c>
      <c r="AB16" s="123"/>
      <c r="AC16" s="14"/>
      <c r="AD16" s="14"/>
      <c r="AE16" s="327"/>
      <c r="AF16" s="14"/>
      <c r="AG16" s="14"/>
      <c r="AH16" s="327"/>
      <c r="AI16" s="14"/>
      <c r="AJ16" s="14"/>
      <c r="AK16" s="73">
        <f t="shared" si="5"/>
        <v>20584913</v>
      </c>
      <c r="AL16" s="73">
        <f>E16+H16+K16+N16+Q16+T16+Z16+AF16+AI16+W16</f>
        <v>20584913</v>
      </c>
      <c r="AM16" s="377">
        <f t="shared" si="3"/>
        <v>15984090</v>
      </c>
      <c r="AN16" s="41"/>
      <c r="AO16" s="41"/>
      <c r="AP16" s="41"/>
    </row>
    <row r="17" spans="1:42" s="29" customFormat="1" ht="15.75" customHeight="1" x14ac:dyDescent="0.25">
      <c r="A17" s="64" t="s">
        <v>29</v>
      </c>
      <c r="B17" s="26" t="s">
        <v>77</v>
      </c>
      <c r="C17" s="2" t="s">
        <v>324</v>
      </c>
      <c r="D17" s="122"/>
      <c r="E17" s="112"/>
      <c r="F17" s="112"/>
      <c r="G17" s="123"/>
      <c r="H17" s="14"/>
      <c r="I17" s="14"/>
      <c r="J17" s="31"/>
      <c r="K17" s="14"/>
      <c r="L17" s="14"/>
      <c r="M17" s="121"/>
      <c r="N17" s="14"/>
      <c r="O17" s="14"/>
      <c r="P17" s="123">
        <v>15259000</v>
      </c>
      <c r="Q17" s="112">
        <f t="shared" si="4"/>
        <v>15259000</v>
      </c>
      <c r="R17" s="112">
        <v>8308300</v>
      </c>
      <c r="S17" s="121"/>
      <c r="T17" s="14" t="s">
        <v>98</v>
      </c>
      <c r="U17" s="14"/>
      <c r="V17" s="128"/>
      <c r="W17" s="15"/>
      <c r="X17" s="15"/>
      <c r="Y17" s="121"/>
      <c r="Z17" s="14"/>
      <c r="AA17" s="14"/>
      <c r="AB17" s="123"/>
      <c r="AC17" s="14"/>
      <c r="AD17" s="14"/>
      <c r="AE17" s="121"/>
      <c r="AF17" s="14"/>
      <c r="AG17" s="14"/>
      <c r="AH17" s="121"/>
      <c r="AI17" s="14"/>
      <c r="AJ17" s="14"/>
      <c r="AK17" s="73">
        <f t="shared" si="5"/>
        <v>15259000</v>
      </c>
      <c r="AL17" s="73">
        <f>Q17</f>
        <v>15259000</v>
      </c>
      <c r="AM17" s="377">
        <f t="shared" si="3"/>
        <v>8308300</v>
      </c>
      <c r="AN17" s="41"/>
      <c r="AO17" s="41"/>
      <c r="AP17" s="41"/>
    </row>
    <row r="18" spans="1:42" s="29" customFormat="1" ht="15.75" customHeight="1" x14ac:dyDescent="0.25">
      <c r="A18" s="64" t="s">
        <v>32</v>
      </c>
      <c r="B18" s="26" t="s">
        <v>77</v>
      </c>
      <c r="C18" s="2" t="s">
        <v>325</v>
      </c>
      <c r="D18" s="122"/>
      <c r="E18" s="112"/>
      <c r="F18" s="112">
        <v>1170</v>
      </c>
      <c r="G18" s="123"/>
      <c r="H18" s="14"/>
      <c r="I18" s="14"/>
      <c r="J18" s="31"/>
      <c r="K18" s="14"/>
      <c r="L18" s="14"/>
      <c r="M18" s="121"/>
      <c r="N18" s="14"/>
      <c r="O18" s="14"/>
      <c r="P18" s="123">
        <v>246700</v>
      </c>
      <c r="Q18" s="112">
        <f t="shared" si="4"/>
        <v>246700</v>
      </c>
      <c r="R18" s="112">
        <v>112200</v>
      </c>
      <c r="S18" s="121"/>
      <c r="T18" s="14"/>
      <c r="U18" s="14"/>
      <c r="V18" s="128"/>
      <c r="W18" s="15"/>
      <c r="X18" s="15"/>
      <c r="Y18" s="121"/>
      <c r="Z18" s="14"/>
      <c r="AA18" s="14"/>
      <c r="AB18" s="123"/>
      <c r="AC18" s="14"/>
      <c r="AD18" s="14"/>
      <c r="AE18" s="121"/>
      <c r="AF18" s="14"/>
      <c r="AG18" s="14"/>
      <c r="AH18" s="121"/>
      <c r="AI18" s="14"/>
      <c r="AJ18" s="14"/>
      <c r="AK18" s="73">
        <f t="shared" si="5"/>
        <v>246700</v>
      </c>
      <c r="AL18" s="73">
        <f t="shared" si="6"/>
        <v>246700</v>
      </c>
      <c r="AM18" s="377">
        <f t="shared" si="3"/>
        <v>113370</v>
      </c>
      <c r="AN18" s="41"/>
      <c r="AO18" s="41"/>
      <c r="AP18" s="41"/>
    </row>
    <row r="19" spans="1:42" s="29" customFormat="1" ht="15.75" customHeight="1" x14ac:dyDescent="0.25">
      <c r="A19" s="64" t="s">
        <v>34</v>
      </c>
      <c r="B19" s="26" t="s">
        <v>78</v>
      </c>
      <c r="C19" s="2" t="s">
        <v>326</v>
      </c>
      <c r="D19" s="122">
        <v>893850</v>
      </c>
      <c r="E19" s="112">
        <f t="shared" si="2"/>
        <v>893850</v>
      </c>
      <c r="F19" s="112">
        <v>139316</v>
      </c>
      <c r="G19" s="123"/>
      <c r="H19" s="14"/>
      <c r="I19" s="375"/>
      <c r="K19" s="14"/>
      <c r="L19" s="14"/>
      <c r="M19" s="121"/>
      <c r="N19" s="14"/>
      <c r="O19" s="14"/>
      <c r="P19" s="123">
        <v>240000</v>
      </c>
      <c r="Q19" s="112">
        <f t="shared" si="4"/>
        <v>240000</v>
      </c>
      <c r="R19" s="112">
        <v>180000</v>
      </c>
      <c r="S19" s="337"/>
      <c r="T19" s="14"/>
      <c r="U19" s="14"/>
      <c r="V19" s="128"/>
      <c r="W19" s="15"/>
      <c r="X19" s="15"/>
      <c r="Y19" s="121"/>
      <c r="Z19" s="14"/>
      <c r="AA19" s="14"/>
      <c r="AB19" s="123"/>
      <c r="AC19" s="14"/>
      <c r="AD19" s="14"/>
      <c r="AE19" s="121"/>
      <c r="AF19" s="14"/>
      <c r="AG19" s="14"/>
      <c r="AH19" s="121"/>
      <c r="AI19" s="14"/>
      <c r="AJ19" s="14"/>
      <c r="AK19" s="73">
        <f t="shared" si="5"/>
        <v>1133850</v>
      </c>
      <c r="AL19" s="73">
        <f t="shared" si="6"/>
        <v>1133850</v>
      </c>
      <c r="AM19" s="377">
        <f t="shared" si="3"/>
        <v>319316</v>
      </c>
      <c r="AN19" s="41"/>
      <c r="AO19" s="41"/>
      <c r="AP19" s="41"/>
    </row>
    <row r="20" spans="1:42" s="29" customFormat="1" ht="15.75" customHeight="1" x14ac:dyDescent="0.25">
      <c r="A20" s="64" t="s">
        <v>57</v>
      </c>
      <c r="B20" s="26" t="s">
        <v>77</v>
      </c>
      <c r="C20" s="2" t="s">
        <v>327</v>
      </c>
      <c r="D20" s="122">
        <v>10154334</v>
      </c>
      <c r="E20" s="112">
        <f t="shared" si="2"/>
        <v>10154334</v>
      </c>
      <c r="F20" s="112">
        <v>6034841</v>
      </c>
      <c r="G20" s="123"/>
      <c r="H20" s="14"/>
      <c r="I20" s="14"/>
      <c r="J20" s="123"/>
      <c r="K20" s="14"/>
      <c r="L20" s="14"/>
      <c r="M20" s="121"/>
      <c r="N20" s="14"/>
      <c r="O20" s="14"/>
      <c r="P20" s="337"/>
      <c r="Q20" s="128"/>
      <c r="R20" s="128"/>
      <c r="S20" s="121"/>
      <c r="T20" s="14"/>
      <c r="U20" s="14"/>
      <c r="V20" s="128"/>
      <c r="W20" s="15"/>
      <c r="X20" s="15"/>
      <c r="Y20" s="121"/>
      <c r="Z20" s="14"/>
      <c r="AA20" s="14"/>
      <c r="AB20" s="123"/>
      <c r="AC20" s="14"/>
      <c r="AD20" s="14"/>
      <c r="AE20" s="121"/>
      <c r="AF20" s="14"/>
      <c r="AG20" s="14"/>
      <c r="AH20" s="121"/>
      <c r="AI20" s="14"/>
      <c r="AJ20" s="14"/>
      <c r="AK20" s="73">
        <f t="shared" si="5"/>
        <v>10154334</v>
      </c>
      <c r="AL20" s="73">
        <f t="shared" si="6"/>
        <v>10154334</v>
      </c>
      <c r="AM20" s="377">
        <f t="shared" si="3"/>
        <v>6034841</v>
      </c>
      <c r="AN20" s="41"/>
      <c r="AO20" s="41"/>
      <c r="AP20" s="41"/>
    </row>
    <row r="21" spans="1:42" s="29" customFormat="1" ht="15.75" customHeight="1" x14ac:dyDescent="0.25">
      <c r="A21" s="64" t="s">
        <v>36</v>
      </c>
      <c r="B21" s="26" t="s">
        <v>77</v>
      </c>
      <c r="C21" s="2" t="s">
        <v>328</v>
      </c>
      <c r="D21" s="122"/>
      <c r="E21" s="112"/>
      <c r="F21" s="112"/>
      <c r="G21" s="123">
        <v>106835000</v>
      </c>
      <c r="H21" s="112">
        <f>G21</f>
        <v>106835000</v>
      </c>
      <c r="I21" s="112">
        <v>54729860</v>
      </c>
      <c r="J21" s="123"/>
      <c r="K21" s="14"/>
      <c r="L21" s="14"/>
      <c r="M21" s="121"/>
      <c r="N21" s="14"/>
      <c r="O21" s="14"/>
      <c r="P21" s="123"/>
      <c r="Q21" s="128"/>
      <c r="R21" s="128"/>
      <c r="S21" s="121"/>
      <c r="T21" s="14"/>
      <c r="U21" s="14"/>
      <c r="V21" s="128"/>
      <c r="W21" s="15"/>
      <c r="X21" s="15"/>
      <c r="Y21" s="121"/>
      <c r="Z21" s="14"/>
      <c r="AA21" s="14"/>
      <c r="AB21" s="123"/>
      <c r="AC21" s="14"/>
      <c r="AD21" s="14"/>
      <c r="AE21" s="121"/>
      <c r="AF21" s="14"/>
      <c r="AG21" s="14"/>
      <c r="AH21" s="121"/>
      <c r="AI21" s="14"/>
      <c r="AJ21" s="14"/>
      <c r="AK21" s="73">
        <f t="shared" si="5"/>
        <v>106835000</v>
      </c>
      <c r="AL21" s="73">
        <f t="shared" si="6"/>
        <v>106835000</v>
      </c>
      <c r="AM21" s="377">
        <f t="shared" si="3"/>
        <v>54729860</v>
      </c>
      <c r="AN21" s="41"/>
      <c r="AO21" s="41"/>
      <c r="AP21" s="41"/>
    </row>
    <row r="22" spans="1:42" s="29" customFormat="1" ht="15.75" customHeight="1" x14ac:dyDescent="0.25">
      <c r="A22" s="64" t="s">
        <v>38</v>
      </c>
      <c r="B22" s="26" t="s">
        <v>77</v>
      </c>
      <c r="C22" s="2" t="s">
        <v>357</v>
      </c>
      <c r="D22" s="122"/>
      <c r="E22" s="112"/>
      <c r="F22" s="112"/>
      <c r="G22" s="123"/>
      <c r="H22" s="128"/>
      <c r="I22" s="128"/>
      <c r="J22" s="123"/>
      <c r="K22" s="14"/>
      <c r="L22" s="14"/>
      <c r="M22" s="336"/>
      <c r="N22" s="14"/>
      <c r="O22" s="14"/>
      <c r="P22" s="123"/>
      <c r="Q22" s="128"/>
      <c r="R22" s="128"/>
      <c r="S22" s="336"/>
      <c r="T22" s="14"/>
      <c r="U22" s="14"/>
      <c r="V22" s="128"/>
      <c r="W22" s="15"/>
      <c r="X22" s="15"/>
      <c r="Y22" s="336"/>
      <c r="Z22" s="14"/>
      <c r="AA22" s="14"/>
      <c r="AB22" s="123"/>
      <c r="AC22" s="14"/>
      <c r="AD22" s="14"/>
      <c r="AE22" s="337">
        <v>393678118</v>
      </c>
      <c r="AF22" s="128">
        <f>46166+AE22</f>
        <v>393724284</v>
      </c>
      <c r="AG22" s="128">
        <v>393724284</v>
      </c>
      <c r="AH22" s="336"/>
      <c r="AI22" s="14"/>
      <c r="AJ22" s="14"/>
      <c r="AK22" s="73">
        <f t="shared" si="5"/>
        <v>393678118</v>
      </c>
      <c r="AL22" s="73">
        <f t="shared" si="6"/>
        <v>393724284</v>
      </c>
      <c r="AM22" s="377">
        <f t="shared" si="3"/>
        <v>393724284</v>
      </c>
      <c r="AN22" s="41"/>
      <c r="AO22" s="41"/>
      <c r="AP22" s="41"/>
    </row>
    <row r="23" spans="1:42" s="29" customFormat="1" ht="15.75" customHeight="1" x14ac:dyDescent="0.25">
      <c r="A23" s="64" t="s">
        <v>130</v>
      </c>
      <c r="B23" s="26" t="s">
        <v>77</v>
      </c>
      <c r="C23" s="2" t="s">
        <v>317</v>
      </c>
      <c r="D23" s="122"/>
      <c r="E23" s="112"/>
      <c r="F23" s="112"/>
      <c r="G23" s="123"/>
      <c r="H23" s="14"/>
      <c r="I23" s="14"/>
      <c r="J23" s="123">
        <f>594588121+37624000</f>
        <v>632212121</v>
      </c>
      <c r="K23" s="359">
        <f>11470600+1115300+J23</f>
        <v>644798021</v>
      </c>
      <c r="L23" s="359">
        <v>335909448</v>
      </c>
      <c r="M23" s="123">
        <v>20000000</v>
      </c>
      <c r="N23" s="360">
        <f>M23</f>
        <v>20000000</v>
      </c>
      <c r="O23" s="360">
        <v>19999990</v>
      </c>
      <c r="P23" s="123"/>
      <c r="Q23" s="128"/>
      <c r="R23" s="128"/>
      <c r="S23" s="121"/>
      <c r="T23" s="14"/>
      <c r="U23" s="14"/>
      <c r="V23" s="128"/>
      <c r="W23" s="15"/>
      <c r="X23" s="15"/>
      <c r="Y23" s="121"/>
      <c r="Z23" s="14"/>
      <c r="AA23" s="14"/>
      <c r="AB23" s="123"/>
      <c r="AC23" s="14"/>
      <c r="AD23" s="14"/>
      <c r="AE23" s="123"/>
      <c r="AF23" s="128"/>
      <c r="AG23" s="128"/>
      <c r="AH23" s="121"/>
      <c r="AI23" s="128">
        <v>2586637</v>
      </c>
      <c r="AJ23" s="128">
        <v>2586637</v>
      </c>
      <c r="AK23" s="73">
        <f t="shared" si="5"/>
        <v>652212121</v>
      </c>
      <c r="AL23" s="73">
        <f t="shared" si="6"/>
        <v>667384658</v>
      </c>
      <c r="AM23" s="377">
        <f t="shared" si="3"/>
        <v>358496075</v>
      </c>
      <c r="AN23" s="41"/>
      <c r="AO23" s="41"/>
      <c r="AP23" s="41"/>
    </row>
    <row r="24" spans="1:42" s="29" customFormat="1" ht="15.75" customHeight="1" x14ac:dyDescent="0.25">
      <c r="A24" s="64" t="s">
        <v>131</v>
      </c>
      <c r="B24" s="26"/>
      <c r="C24" s="2"/>
      <c r="D24" s="122"/>
      <c r="E24" s="15"/>
      <c r="F24" s="15"/>
      <c r="G24" s="123"/>
      <c r="H24" s="14"/>
      <c r="I24" s="14"/>
      <c r="J24" s="123"/>
      <c r="K24" s="14"/>
      <c r="L24" s="14"/>
      <c r="M24" s="121"/>
      <c r="N24" s="14"/>
      <c r="O24" s="14"/>
      <c r="P24" s="123"/>
      <c r="Q24" s="128">
        <f t="shared" ref="Q24" si="7">P24</f>
        <v>0</v>
      </c>
      <c r="R24" s="128"/>
      <c r="S24" s="121"/>
      <c r="T24" s="14"/>
      <c r="U24" s="14"/>
      <c r="V24" s="128"/>
      <c r="W24" s="15"/>
      <c r="X24" s="15"/>
      <c r="Y24" s="121"/>
      <c r="Z24" s="14"/>
      <c r="AA24" s="14"/>
      <c r="AB24" s="123"/>
      <c r="AC24" s="14"/>
      <c r="AD24" s="14"/>
      <c r="AE24" s="123"/>
      <c r="AF24" s="14"/>
      <c r="AG24" s="14"/>
      <c r="AH24" s="121"/>
      <c r="AI24" s="14"/>
      <c r="AJ24" s="14"/>
      <c r="AK24" s="73">
        <f t="shared" si="5"/>
        <v>0</v>
      </c>
      <c r="AL24" s="73">
        <f t="shared" si="6"/>
        <v>0</v>
      </c>
      <c r="AM24" s="377">
        <f t="shared" si="3"/>
        <v>0</v>
      </c>
      <c r="AN24" s="41"/>
      <c r="AO24" s="41"/>
      <c r="AP24" s="41"/>
    </row>
    <row r="25" spans="1:42" ht="15.75" x14ac:dyDescent="0.25">
      <c r="A25" s="64" t="s">
        <v>132</v>
      </c>
      <c r="B25" s="1"/>
      <c r="C25" s="25" t="s">
        <v>79</v>
      </c>
      <c r="D25" s="67">
        <f t="shared" ref="D25:E25" si="8">SUM(D7:D24)</f>
        <v>50325435</v>
      </c>
      <c r="E25" s="67">
        <f t="shared" si="8"/>
        <v>50325435</v>
      </c>
      <c r="F25" s="67">
        <f>SUM(F7:F24)</f>
        <v>23771163</v>
      </c>
      <c r="G25" s="67">
        <f t="shared" ref="G25:AL25" si="9">SUM(G7:G24)</f>
        <v>106835000</v>
      </c>
      <c r="H25" s="67">
        <f t="shared" si="9"/>
        <v>106835000</v>
      </c>
      <c r="I25" s="67">
        <f t="shared" si="9"/>
        <v>54729860</v>
      </c>
      <c r="J25" s="67">
        <f t="shared" si="9"/>
        <v>632212121</v>
      </c>
      <c r="K25" s="67">
        <f t="shared" si="9"/>
        <v>644798021</v>
      </c>
      <c r="L25" s="67">
        <f t="shared" si="9"/>
        <v>335909448</v>
      </c>
      <c r="M25" s="67">
        <f t="shared" si="9"/>
        <v>20000000</v>
      </c>
      <c r="N25" s="67">
        <f t="shared" si="9"/>
        <v>20000000</v>
      </c>
      <c r="O25" s="67">
        <f t="shared" si="9"/>
        <v>19999990</v>
      </c>
      <c r="P25" s="67">
        <f t="shared" si="9"/>
        <v>16845700</v>
      </c>
      <c r="Q25" s="67">
        <f t="shared" si="9"/>
        <v>48422950</v>
      </c>
      <c r="R25" s="67">
        <f t="shared" si="9"/>
        <v>32681247</v>
      </c>
      <c r="S25" s="67">
        <f t="shared" si="9"/>
        <v>0</v>
      </c>
      <c r="T25" s="67">
        <f t="shared" si="9"/>
        <v>184343840</v>
      </c>
      <c r="U25" s="67">
        <f t="shared" si="9"/>
        <v>36913962</v>
      </c>
      <c r="V25" s="67">
        <f t="shared" si="9"/>
        <v>10072300</v>
      </c>
      <c r="W25" s="67">
        <f t="shared" si="9"/>
        <v>10072300</v>
      </c>
      <c r="X25" s="67">
        <f t="shared" si="9"/>
        <v>6140595</v>
      </c>
      <c r="Y25" s="67">
        <f t="shared" si="9"/>
        <v>2000000</v>
      </c>
      <c r="Z25" s="67">
        <f t="shared" si="9"/>
        <v>2000000</v>
      </c>
      <c r="AA25" s="67">
        <f t="shared" si="9"/>
        <v>2000000</v>
      </c>
      <c r="AB25" s="67">
        <f t="shared" si="9"/>
        <v>0</v>
      </c>
      <c r="AC25" s="67">
        <f t="shared" si="9"/>
        <v>0</v>
      </c>
      <c r="AD25" s="67">
        <f t="shared" si="9"/>
        <v>4581176</v>
      </c>
      <c r="AE25" s="67">
        <f t="shared" si="9"/>
        <v>393678118</v>
      </c>
      <c r="AF25" s="67">
        <f t="shared" si="9"/>
        <v>393724284</v>
      </c>
      <c r="AG25" s="67">
        <f t="shared" si="9"/>
        <v>393724284</v>
      </c>
      <c r="AH25" s="67">
        <f t="shared" si="9"/>
        <v>0</v>
      </c>
      <c r="AI25" s="67">
        <f t="shared" si="9"/>
        <v>2586637</v>
      </c>
      <c r="AJ25" s="67">
        <f t="shared" si="9"/>
        <v>2586637</v>
      </c>
      <c r="AK25" s="67">
        <f t="shared" si="9"/>
        <v>1231968674</v>
      </c>
      <c r="AL25" s="67">
        <f t="shared" si="9"/>
        <v>1463108467</v>
      </c>
      <c r="AM25" s="67">
        <f>SUM(AM7:AM24)</f>
        <v>913038362</v>
      </c>
      <c r="AN25" s="108"/>
    </row>
    <row r="26" spans="1:42" x14ac:dyDescent="0.25">
      <c r="A26" s="64" t="s">
        <v>133</v>
      </c>
      <c r="B26" s="1"/>
      <c r="C26" s="23" t="s">
        <v>80</v>
      </c>
      <c r="D26" s="68">
        <f>D7+D17+D18+D20+D21+D23+D12+D16+D22+D14</f>
        <v>22602672</v>
      </c>
      <c r="E26" s="68">
        <f t="shared" ref="E26:AM26" si="10">E7+E17+E18+E20+E21+E23+E12+E16+E22+E14</f>
        <v>22602672</v>
      </c>
      <c r="F26" s="68">
        <f t="shared" si="10"/>
        <v>15168330</v>
      </c>
      <c r="G26" s="68">
        <f t="shared" si="10"/>
        <v>106835000</v>
      </c>
      <c r="H26" s="68">
        <f t="shared" si="10"/>
        <v>106835000</v>
      </c>
      <c r="I26" s="68">
        <f t="shared" si="10"/>
        <v>54729860</v>
      </c>
      <c r="J26" s="68">
        <f t="shared" si="10"/>
        <v>632212121</v>
      </c>
      <c r="K26" s="68">
        <f t="shared" si="10"/>
        <v>644798021</v>
      </c>
      <c r="L26" s="68">
        <f t="shared" si="10"/>
        <v>335909448</v>
      </c>
      <c r="M26" s="68">
        <f t="shared" si="10"/>
        <v>20000000</v>
      </c>
      <c r="N26" s="68">
        <f t="shared" si="10"/>
        <v>20000000</v>
      </c>
      <c r="O26" s="68">
        <f t="shared" si="10"/>
        <v>19999990</v>
      </c>
      <c r="P26" s="68">
        <f t="shared" si="10"/>
        <v>15505700</v>
      </c>
      <c r="Q26" s="68">
        <f t="shared" si="10"/>
        <v>15505700</v>
      </c>
      <c r="R26" s="68">
        <f t="shared" si="10"/>
        <v>8420500</v>
      </c>
      <c r="S26" s="68">
        <f t="shared" si="10"/>
        <v>0</v>
      </c>
      <c r="T26" s="68"/>
      <c r="U26" s="68">
        <f t="shared" si="10"/>
        <v>0</v>
      </c>
      <c r="V26" s="68">
        <f t="shared" si="10"/>
        <v>10072300</v>
      </c>
      <c r="W26" s="68">
        <f t="shared" si="10"/>
        <v>10072300</v>
      </c>
      <c r="X26" s="68">
        <f t="shared" si="10"/>
        <v>6140595</v>
      </c>
      <c r="Y26" s="68">
        <f t="shared" si="10"/>
        <v>2000000</v>
      </c>
      <c r="Z26" s="68">
        <f t="shared" si="10"/>
        <v>2000000</v>
      </c>
      <c r="AA26" s="68">
        <f t="shared" si="10"/>
        <v>2000000</v>
      </c>
      <c r="AB26" s="68">
        <f t="shared" si="10"/>
        <v>0</v>
      </c>
      <c r="AC26" s="68">
        <f t="shared" si="10"/>
        <v>0</v>
      </c>
      <c r="AD26" s="68">
        <f t="shared" si="10"/>
        <v>4581176</v>
      </c>
      <c r="AE26" s="68">
        <f t="shared" si="10"/>
        <v>393678118</v>
      </c>
      <c r="AF26" s="68">
        <f t="shared" si="10"/>
        <v>393724284</v>
      </c>
      <c r="AG26" s="68">
        <f t="shared" si="10"/>
        <v>393724284</v>
      </c>
      <c r="AH26" s="68">
        <f t="shared" si="10"/>
        <v>0</v>
      </c>
      <c r="AI26" s="68">
        <f t="shared" si="10"/>
        <v>2586637</v>
      </c>
      <c r="AJ26" s="68">
        <f t="shared" si="10"/>
        <v>2586637</v>
      </c>
      <c r="AK26" s="68">
        <f t="shared" si="10"/>
        <v>1202905911</v>
      </c>
      <c r="AL26" s="68">
        <f t="shared" si="10"/>
        <v>1218124614</v>
      </c>
      <c r="AM26" s="68">
        <f t="shared" si="10"/>
        <v>843260820</v>
      </c>
      <c r="AN26" s="108"/>
    </row>
    <row r="27" spans="1:42" s="29" customFormat="1" x14ac:dyDescent="0.25">
      <c r="A27" s="64" t="s">
        <v>134</v>
      </c>
      <c r="B27" s="1"/>
      <c r="C27" s="23" t="s">
        <v>112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72"/>
      <c r="AI27" s="72"/>
      <c r="AJ27" s="72"/>
      <c r="AK27" s="68">
        <f t="shared" ref="AK27" si="11">D27+G27+J27+P27+S27+Y27+AH27+M27+AE27</f>
        <v>0</v>
      </c>
      <c r="AL27" s="73">
        <f>E27+H27+K27+Q27+T27+Z27+AI27+N27+AF27</f>
        <v>0</v>
      </c>
      <c r="AM27" s="377">
        <f t="shared" si="3"/>
        <v>0</v>
      </c>
      <c r="AN27" s="28"/>
    </row>
    <row r="28" spans="1:42" x14ac:dyDescent="0.25">
      <c r="A28" s="64" t="s">
        <v>135</v>
      </c>
      <c r="B28" s="23"/>
      <c r="C28" s="23" t="s">
        <v>81</v>
      </c>
      <c r="D28" s="68">
        <f>D8+D9+D11+D13+D19+D10+D15</f>
        <v>27722763</v>
      </c>
      <c r="E28" s="68">
        <f t="shared" ref="E28:AM28" si="12">E8+E9+E11+E13+E19+E10+E15</f>
        <v>27722763</v>
      </c>
      <c r="F28" s="68">
        <f t="shared" si="12"/>
        <v>8602833</v>
      </c>
      <c r="G28" s="68">
        <f t="shared" si="12"/>
        <v>0</v>
      </c>
      <c r="H28" s="68">
        <f t="shared" si="12"/>
        <v>0</v>
      </c>
      <c r="I28" s="68">
        <f t="shared" si="12"/>
        <v>0</v>
      </c>
      <c r="J28" s="68">
        <f t="shared" si="12"/>
        <v>0</v>
      </c>
      <c r="K28" s="68">
        <f t="shared" si="12"/>
        <v>0</v>
      </c>
      <c r="L28" s="68">
        <f t="shared" si="12"/>
        <v>0</v>
      </c>
      <c r="M28" s="68">
        <f t="shared" si="12"/>
        <v>0</v>
      </c>
      <c r="N28" s="68">
        <f t="shared" si="12"/>
        <v>0</v>
      </c>
      <c r="O28" s="68">
        <f t="shared" si="12"/>
        <v>0</v>
      </c>
      <c r="P28" s="68">
        <f t="shared" si="12"/>
        <v>1340000</v>
      </c>
      <c r="Q28" s="68">
        <f t="shared" si="12"/>
        <v>32917250</v>
      </c>
      <c r="R28" s="68">
        <f t="shared" si="12"/>
        <v>24260747</v>
      </c>
      <c r="S28" s="68">
        <f t="shared" si="12"/>
        <v>0</v>
      </c>
      <c r="T28" s="68">
        <f t="shared" si="12"/>
        <v>184343840</v>
      </c>
      <c r="U28" s="68">
        <f t="shared" si="12"/>
        <v>36913962</v>
      </c>
      <c r="V28" s="68">
        <f t="shared" si="12"/>
        <v>0</v>
      </c>
      <c r="W28" s="68">
        <f t="shared" si="12"/>
        <v>0</v>
      </c>
      <c r="X28" s="68">
        <f t="shared" si="12"/>
        <v>0</v>
      </c>
      <c r="Y28" s="68">
        <f t="shared" si="12"/>
        <v>0</v>
      </c>
      <c r="Z28" s="68">
        <f t="shared" si="12"/>
        <v>0</v>
      </c>
      <c r="AA28" s="68">
        <f t="shared" si="12"/>
        <v>0</v>
      </c>
      <c r="AB28" s="68">
        <f t="shared" si="12"/>
        <v>0</v>
      </c>
      <c r="AC28" s="68">
        <f t="shared" si="12"/>
        <v>0</v>
      </c>
      <c r="AD28" s="68">
        <f t="shared" si="12"/>
        <v>0</v>
      </c>
      <c r="AE28" s="68">
        <f t="shared" si="12"/>
        <v>0</v>
      </c>
      <c r="AF28" s="68">
        <f t="shared" si="12"/>
        <v>0</v>
      </c>
      <c r="AG28" s="68">
        <f t="shared" si="12"/>
        <v>0</v>
      </c>
      <c r="AH28" s="68">
        <f t="shared" si="12"/>
        <v>0</v>
      </c>
      <c r="AI28" s="68">
        <f t="shared" si="12"/>
        <v>0</v>
      </c>
      <c r="AJ28" s="68">
        <f t="shared" si="12"/>
        <v>0</v>
      </c>
      <c r="AK28" s="68">
        <f t="shared" si="12"/>
        <v>29062763</v>
      </c>
      <c r="AL28" s="68">
        <f t="shared" si="12"/>
        <v>244983853</v>
      </c>
      <c r="AM28" s="68">
        <f t="shared" si="12"/>
        <v>69777542</v>
      </c>
      <c r="AN28" s="28"/>
    </row>
    <row r="29" spans="1:42" x14ac:dyDescent="0.25">
      <c r="A29" s="64" t="s">
        <v>136</v>
      </c>
      <c r="B29" s="26"/>
      <c r="C29" s="27" t="s">
        <v>235</v>
      </c>
      <c r="D29" s="40">
        <f>D30+D31+D32</f>
        <v>257750</v>
      </c>
      <c r="E29" s="40">
        <f t="shared" ref="E29:AM29" si="13">E30+E31+E32</f>
        <v>257750</v>
      </c>
      <c r="F29" s="40">
        <f t="shared" si="13"/>
        <v>129136</v>
      </c>
      <c r="G29" s="40">
        <f t="shared" si="13"/>
        <v>0</v>
      </c>
      <c r="H29" s="40">
        <f t="shared" si="13"/>
        <v>0</v>
      </c>
      <c r="I29" s="40">
        <f t="shared" si="13"/>
        <v>0</v>
      </c>
      <c r="J29" s="40">
        <f t="shared" si="13"/>
        <v>0</v>
      </c>
      <c r="K29" s="40">
        <f t="shared" si="13"/>
        <v>0</v>
      </c>
      <c r="L29" s="40">
        <f t="shared" si="13"/>
        <v>0</v>
      </c>
      <c r="M29" s="40">
        <f t="shared" si="13"/>
        <v>0</v>
      </c>
      <c r="N29" s="40">
        <f t="shared" si="13"/>
        <v>0</v>
      </c>
      <c r="O29" s="40">
        <f t="shared" si="13"/>
        <v>0</v>
      </c>
      <c r="P29" s="40">
        <f t="shared" si="13"/>
        <v>0</v>
      </c>
      <c r="Q29" s="40">
        <f t="shared" si="13"/>
        <v>2224452</v>
      </c>
      <c r="R29" s="40">
        <f t="shared" si="13"/>
        <v>6015605</v>
      </c>
      <c r="S29" s="40">
        <f t="shared" si="13"/>
        <v>0</v>
      </c>
      <c r="T29" s="40">
        <f t="shared" si="13"/>
        <v>0</v>
      </c>
      <c r="U29" s="40">
        <f t="shared" si="13"/>
        <v>0</v>
      </c>
      <c r="V29" s="40">
        <f t="shared" si="13"/>
        <v>0</v>
      </c>
      <c r="W29" s="40">
        <f t="shared" si="13"/>
        <v>0</v>
      </c>
      <c r="X29" s="40">
        <f t="shared" si="13"/>
        <v>0</v>
      </c>
      <c r="Y29" s="40">
        <f t="shared" si="13"/>
        <v>0</v>
      </c>
      <c r="Z29" s="40">
        <f t="shared" si="13"/>
        <v>0</v>
      </c>
      <c r="AA29" s="40">
        <f t="shared" si="13"/>
        <v>0</v>
      </c>
      <c r="AB29" s="40">
        <f t="shared" si="13"/>
        <v>0</v>
      </c>
      <c r="AC29" s="40">
        <f t="shared" si="13"/>
        <v>0</v>
      </c>
      <c r="AD29" s="40">
        <f t="shared" si="13"/>
        <v>0</v>
      </c>
      <c r="AE29" s="40">
        <f t="shared" si="13"/>
        <v>179306</v>
      </c>
      <c r="AF29" s="40">
        <f t="shared" si="13"/>
        <v>197866</v>
      </c>
      <c r="AG29" s="40">
        <f t="shared" si="13"/>
        <v>197866</v>
      </c>
      <c r="AH29" s="40">
        <f t="shared" si="13"/>
        <v>121186622</v>
      </c>
      <c r="AI29" s="40">
        <f t="shared" si="13"/>
        <v>121186622</v>
      </c>
      <c r="AJ29" s="40">
        <f t="shared" si="13"/>
        <v>60442677</v>
      </c>
      <c r="AK29" s="40">
        <f t="shared" si="13"/>
        <v>121623678</v>
      </c>
      <c r="AL29" s="40">
        <f t="shared" si="13"/>
        <v>123866690</v>
      </c>
      <c r="AM29" s="40">
        <f t="shared" si="13"/>
        <v>66785284</v>
      </c>
      <c r="AN29" s="28"/>
    </row>
    <row r="30" spans="1:42" x14ac:dyDescent="0.25">
      <c r="A30" s="64" t="s">
        <v>137</v>
      </c>
      <c r="B30" s="1" t="s">
        <v>77</v>
      </c>
      <c r="C30" s="30" t="s">
        <v>82</v>
      </c>
      <c r="D30" s="69">
        <f>'3.mellékletPH.bev.'!D10</f>
        <v>0</v>
      </c>
      <c r="E30" s="69">
        <f>'3.mellékletPH.bev.'!E10</f>
        <v>0</v>
      </c>
      <c r="F30" s="69"/>
      <c r="G30" s="69">
        <f>'3.mellékletPH.bev.'!G10</f>
        <v>0</v>
      </c>
      <c r="H30" s="69"/>
      <c r="I30" s="69"/>
      <c r="J30" s="69"/>
      <c r="K30" s="69"/>
      <c r="L30" s="69"/>
      <c r="M30" s="69"/>
      <c r="N30" s="69"/>
      <c r="O30" s="69"/>
      <c r="P30" s="69"/>
      <c r="Q30" s="69">
        <f>'3.mellékletPH.bev.'!K10</f>
        <v>2224452</v>
      </c>
      <c r="R30" s="69">
        <f>'3.mellékletPH.bev.'!L10</f>
        <v>6015605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>
        <f>'3.mellékletPH.bev.'!Y6</f>
        <v>179306</v>
      </c>
      <c r="AF30" s="69">
        <f>'3.mellékletPH.bev.'!Z10</f>
        <v>197866</v>
      </c>
      <c r="AG30" s="69">
        <f>'3.mellékletPH.bev.'!AA10</f>
        <v>197866</v>
      </c>
      <c r="AH30" s="69">
        <f>'3.mellékletPH.bev.'!V10</f>
        <v>107230437</v>
      </c>
      <c r="AI30" s="69">
        <f>'3.mellékletPH.bev.'!W10</f>
        <v>107230437</v>
      </c>
      <c r="AJ30" s="69">
        <f>'3.mellékletPH.bev.'!X10</f>
        <v>53481331.921999998</v>
      </c>
      <c r="AK30" s="73">
        <f>D30+G30+J30+P30+S30+Y30+AH30+AE30</f>
        <v>107409743</v>
      </c>
      <c r="AL30" s="73">
        <f>E30+H30+K30+Q30+T30+Z30+AI30+AF30</f>
        <v>109652755</v>
      </c>
      <c r="AM30" s="377">
        <f t="shared" si="3"/>
        <v>59694802.921999998</v>
      </c>
      <c r="AN30" s="28"/>
    </row>
    <row r="31" spans="1:42" s="29" customFormat="1" x14ac:dyDescent="0.25">
      <c r="A31" s="64" t="s">
        <v>138</v>
      </c>
      <c r="B31" s="1" t="s">
        <v>78</v>
      </c>
      <c r="C31" s="30" t="s">
        <v>83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73">
        <f t="shared" ref="AK31:AK32" si="14">D31+G31+J31+P31+S31+Y31+AH31</f>
        <v>0</v>
      </c>
      <c r="AL31" s="73">
        <f>E31+H31+K31+Q31+T31+Z31+AI31+AF31</f>
        <v>0</v>
      </c>
      <c r="AM31" s="377">
        <f t="shared" si="3"/>
        <v>0</v>
      </c>
      <c r="AN31" s="28"/>
    </row>
    <row r="32" spans="1:42" x14ac:dyDescent="0.25">
      <c r="A32" s="64" t="s">
        <v>139</v>
      </c>
      <c r="B32" s="1" t="s">
        <v>116</v>
      </c>
      <c r="C32" s="30" t="s">
        <v>112</v>
      </c>
      <c r="D32" s="69">
        <f>'3.mellékletPH.bev.'!D11</f>
        <v>257750</v>
      </c>
      <c r="E32" s="69">
        <f>'3.mellékletPH.bev.'!E11</f>
        <v>257750</v>
      </c>
      <c r="F32" s="69">
        <f>'3.mellékletPH.bev.'!F11</f>
        <v>129136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>
        <f>'3.mellékletPH.bev.'!V11</f>
        <v>13956185</v>
      </c>
      <c r="AI32" s="357">
        <f>'3.mellékletPH.bev.'!W11</f>
        <v>13956185</v>
      </c>
      <c r="AJ32" s="357">
        <f>'3.mellékletPH.bev.'!X11</f>
        <v>6961345.0780000007</v>
      </c>
      <c r="AK32" s="73">
        <f t="shared" si="14"/>
        <v>14213935</v>
      </c>
      <c r="AL32" s="73">
        <f>E32+H32+K32+Q32+T32+Z32+AI32+AF32</f>
        <v>14213935</v>
      </c>
      <c r="AM32" s="377">
        <f t="shared" si="3"/>
        <v>7090481.0780000007</v>
      </c>
      <c r="AN32" s="28"/>
    </row>
    <row r="33" spans="1:40" x14ac:dyDescent="0.25">
      <c r="A33" s="64" t="s">
        <v>140</v>
      </c>
      <c r="B33" s="26"/>
      <c r="C33" s="27" t="s">
        <v>236</v>
      </c>
      <c r="D33" s="40">
        <f>D34+D35</f>
        <v>352882</v>
      </c>
      <c r="E33" s="40">
        <f t="shared" ref="E33:AM33" si="15">E34+E35</f>
        <v>352882</v>
      </c>
      <c r="F33" s="40">
        <f t="shared" si="15"/>
        <v>129407</v>
      </c>
      <c r="G33" s="40">
        <f t="shared" si="15"/>
        <v>0</v>
      </c>
      <c r="H33" s="40">
        <f t="shared" si="15"/>
        <v>0</v>
      </c>
      <c r="I33" s="40">
        <f t="shared" si="15"/>
        <v>0</v>
      </c>
      <c r="J33" s="40">
        <f t="shared" si="15"/>
        <v>0</v>
      </c>
      <c r="K33" s="40">
        <f t="shared" si="15"/>
        <v>0</v>
      </c>
      <c r="L33" s="40">
        <f t="shared" si="15"/>
        <v>0</v>
      </c>
      <c r="M33" s="40">
        <f t="shared" si="15"/>
        <v>0</v>
      </c>
      <c r="N33" s="40">
        <f t="shared" si="15"/>
        <v>0</v>
      </c>
      <c r="O33" s="40">
        <f t="shared" si="15"/>
        <v>0</v>
      </c>
      <c r="P33" s="40">
        <f t="shared" si="15"/>
        <v>0</v>
      </c>
      <c r="Q33" s="40">
        <f t="shared" si="15"/>
        <v>0</v>
      </c>
      <c r="R33" s="40">
        <f t="shared" si="15"/>
        <v>0</v>
      </c>
      <c r="S33" s="40">
        <f t="shared" si="15"/>
        <v>0</v>
      </c>
      <c r="T33" s="40">
        <f t="shared" si="15"/>
        <v>0</v>
      </c>
      <c r="U33" s="40">
        <f t="shared" si="15"/>
        <v>0</v>
      </c>
      <c r="V33" s="40">
        <f t="shared" si="15"/>
        <v>0</v>
      </c>
      <c r="W33" s="40">
        <f t="shared" si="15"/>
        <v>0</v>
      </c>
      <c r="X33" s="40">
        <f t="shared" si="15"/>
        <v>0</v>
      </c>
      <c r="Y33" s="40">
        <f t="shared" si="15"/>
        <v>0</v>
      </c>
      <c r="Z33" s="40">
        <f t="shared" si="15"/>
        <v>0</v>
      </c>
      <c r="AA33" s="40">
        <f t="shared" si="15"/>
        <v>0</v>
      </c>
      <c r="AB33" s="40">
        <f t="shared" si="15"/>
        <v>0</v>
      </c>
      <c r="AC33" s="40">
        <f t="shared" si="15"/>
        <v>0</v>
      </c>
      <c r="AD33" s="40">
        <f t="shared" si="15"/>
        <v>0</v>
      </c>
      <c r="AE33" s="40">
        <f t="shared" si="15"/>
        <v>1035007</v>
      </c>
      <c r="AF33" s="40">
        <f t="shared" si="15"/>
        <v>936497</v>
      </c>
      <c r="AG33" s="40">
        <f t="shared" si="15"/>
        <v>936497</v>
      </c>
      <c r="AH33" s="40">
        <f t="shared" si="15"/>
        <v>183365842</v>
      </c>
      <c r="AI33" s="40">
        <f t="shared" si="15"/>
        <v>184481142</v>
      </c>
      <c r="AJ33" s="40">
        <f t="shared" si="15"/>
        <v>81933926</v>
      </c>
      <c r="AK33" s="40">
        <f t="shared" si="15"/>
        <v>184753731</v>
      </c>
      <c r="AL33" s="40">
        <f t="shared" si="15"/>
        <v>185770521</v>
      </c>
      <c r="AM33" s="40">
        <f t="shared" si="15"/>
        <v>82999830</v>
      </c>
      <c r="AN33" s="28"/>
    </row>
    <row r="34" spans="1:40" s="29" customFormat="1" x14ac:dyDescent="0.25">
      <c r="A34" s="64" t="s">
        <v>141</v>
      </c>
      <c r="B34" s="1" t="s">
        <v>77</v>
      </c>
      <c r="C34" s="30" t="s">
        <v>82</v>
      </c>
      <c r="D34" s="69">
        <f>'5. Óvoda bev'!D14</f>
        <v>352882</v>
      </c>
      <c r="E34" s="69">
        <f>'5. Óvoda bev'!E14</f>
        <v>352882</v>
      </c>
      <c r="F34" s="69">
        <f>'5. Óvoda bev'!F14</f>
        <v>129407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>
        <f>'5. Óvoda bev'!Y14</f>
        <v>1035007</v>
      </c>
      <c r="AF34" s="69">
        <f>'5. Óvoda bev'!Z6</f>
        <v>936497</v>
      </c>
      <c r="AG34" s="69">
        <f>'5. Óvoda bev'!AA14</f>
        <v>936497</v>
      </c>
      <c r="AH34" s="69">
        <f>'5. Óvoda bev'!V6</f>
        <v>183365842</v>
      </c>
      <c r="AI34" s="69">
        <f>'5. Óvoda bev'!W14</f>
        <v>184481142</v>
      </c>
      <c r="AJ34" s="69">
        <f>'5. Óvoda bev'!X14</f>
        <v>81933926</v>
      </c>
      <c r="AK34" s="69">
        <f>D34+G34+J34+M34+P34+S34+Y34+AH34+AE34</f>
        <v>184753731</v>
      </c>
      <c r="AL34" s="69">
        <f>E34+H34+K34+N34+Q34+T34+Z34+AI34+AF34</f>
        <v>185770521</v>
      </c>
      <c r="AM34" s="377">
        <f t="shared" si="3"/>
        <v>82999830</v>
      </c>
      <c r="AN34" s="28"/>
    </row>
    <row r="35" spans="1:40" x14ac:dyDescent="0.25">
      <c r="A35" s="64" t="s">
        <v>142</v>
      </c>
      <c r="B35" s="1" t="s">
        <v>78</v>
      </c>
      <c r="C35" s="30" t="s">
        <v>83</v>
      </c>
      <c r="D35" s="69">
        <f>'5. Óvoda bev'!D15</f>
        <v>0</v>
      </c>
      <c r="E35" s="69">
        <f>'5. Óvoda bev'!E15</f>
        <v>0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357"/>
      <c r="AI35" s="357"/>
      <c r="AJ35" s="357"/>
      <c r="AK35" s="69">
        <f>D35+G35+J35+M35+P35+S35+Y35+AH35</f>
        <v>0</v>
      </c>
      <c r="AL35" s="69">
        <f>E35+H35+K35+N35+Q35+T35+Z35+AI35+AF35</f>
        <v>0</v>
      </c>
      <c r="AM35" s="377">
        <f t="shared" si="3"/>
        <v>0</v>
      </c>
      <c r="AN35" s="28"/>
    </row>
    <row r="36" spans="1:40" x14ac:dyDescent="0.25">
      <c r="A36" s="64" t="s">
        <v>143</v>
      </c>
      <c r="B36" s="26"/>
      <c r="C36" s="27" t="s">
        <v>237</v>
      </c>
      <c r="D36" s="40">
        <f ca="1">D37+D38</f>
        <v>81697314</v>
      </c>
      <c r="E36" s="40">
        <f t="shared" ref="E36:AM36" ca="1" si="16">E37+E38</f>
        <v>81697314</v>
      </c>
      <c r="F36" s="40">
        <f t="shared" ca="1" si="16"/>
        <v>37140590</v>
      </c>
      <c r="G36" s="40">
        <f t="shared" si="16"/>
        <v>0</v>
      </c>
      <c r="H36" s="40">
        <f t="shared" si="16"/>
        <v>0</v>
      </c>
      <c r="I36" s="40">
        <f t="shared" si="16"/>
        <v>0</v>
      </c>
      <c r="J36" s="40">
        <f t="shared" si="16"/>
        <v>0</v>
      </c>
      <c r="K36" s="40">
        <f t="shared" si="16"/>
        <v>0</v>
      </c>
      <c r="L36" s="40">
        <f t="shared" si="16"/>
        <v>0</v>
      </c>
      <c r="M36" s="40">
        <f t="shared" si="16"/>
        <v>0</v>
      </c>
      <c r="N36" s="40">
        <f t="shared" si="16"/>
        <v>0</v>
      </c>
      <c r="O36" s="40">
        <f t="shared" si="16"/>
        <v>0</v>
      </c>
      <c r="P36" s="40">
        <f t="shared" si="16"/>
        <v>0</v>
      </c>
      <c r="Q36" s="40">
        <f t="shared" si="16"/>
        <v>532500</v>
      </c>
      <c r="R36" s="40">
        <f t="shared" si="16"/>
        <v>257736</v>
      </c>
      <c r="S36" s="40">
        <f t="shared" si="16"/>
        <v>0</v>
      </c>
      <c r="T36" s="40">
        <f t="shared" si="16"/>
        <v>0</v>
      </c>
      <c r="U36" s="40">
        <f t="shared" si="16"/>
        <v>0</v>
      </c>
      <c r="V36" s="40">
        <f t="shared" si="16"/>
        <v>0</v>
      </c>
      <c r="W36" s="40">
        <f t="shared" si="16"/>
        <v>0</v>
      </c>
      <c r="X36" s="40">
        <f t="shared" si="16"/>
        <v>0</v>
      </c>
      <c r="Y36" s="40">
        <f t="shared" si="16"/>
        <v>0</v>
      </c>
      <c r="Z36" s="40">
        <f t="shared" si="16"/>
        <v>0</v>
      </c>
      <c r="AA36" s="40">
        <f t="shared" si="16"/>
        <v>0</v>
      </c>
      <c r="AB36" s="40">
        <f t="shared" si="16"/>
        <v>1750000</v>
      </c>
      <c r="AC36" s="40">
        <f t="shared" si="16"/>
        <v>1750000</v>
      </c>
      <c r="AD36" s="40">
        <f t="shared" si="16"/>
        <v>1850000</v>
      </c>
      <c r="AE36" s="40">
        <f t="shared" ca="1" si="16"/>
        <v>1855656</v>
      </c>
      <c r="AF36" s="40">
        <f t="shared" ca="1" si="16"/>
        <v>2030040</v>
      </c>
      <c r="AG36" s="40">
        <f t="shared" si="16"/>
        <v>2030040</v>
      </c>
      <c r="AH36" s="40">
        <f t="shared" ca="1" si="16"/>
        <v>182213404</v>
      </c>
      <c r="AI36" s="40">
        <f t="shared" ca="1" si="16"/>
        <v>193684004</v>
      </c>
      <c r="AJ36" s="40">
        <f t="shared" ca="1" si="16"/>
        <v>95849203.096799999</v>
      </c>
      <c r="AK36" s="40">
        <f t="shared" ca="1" si="16"/>
        <v>267516374</v>
      </c>
      <c r="AL36" s="40">
        <f t="shared" ca="1" si="16"/>
        <v>279693858</v>
      </c>
      <c r="AM36" s="40">
        <f t="shared" ca="1" si="16"/>
        <v>137127569.0968</v>
      </c>
      <c r="AN36" s="28"/>
    </row>
    <row r="37" spans="1:40" s="29" customFormat="1" x14ac:dyDescent="0.25">
      <c r="A37" s="64" t="s">
        <v>312</v>
      </c>
      <c r="B37" s="1" t="s">
        <v>77</v>
      </c>
      <c r="C37" s="30" t="s">
        <v>82</v>
      </c>
      <c r="D37" s="69">
        <f ca="1">'4 ESZI bev'!D18</f>
        <v>6401560</v>
      </c>
      <c r="E37" s="69">
        <f ca="1">'4 ESZI bev'!E18</f>
        <v>6401560</v>
      </c>
      <c r="F37" s="69">
        <f ca="1">'4 ESZI bev'!F18</f>
        <v>4344805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>
        <f ca="1">'4 ESZI bev'!Y18</f>
        <v>0</v>
      </c>
      <c r="AF37" s="69">
        <f ca="1">'4 ESZI bev'!Z18</f>
        <v>0</v>
      </c>
      <c r="AG37" s="69"/>
      <c r="AH37" s="69">
        <f ca="1">'4 ESZI bev'!V18</f>
        <v>23761378</v>
      </c>
      <c r="AI37" s="69">
        <f ca="1">'4 ESZI bev'!W18</f>
        <v>24717432</v>
      </c>
      <c r="AJ37" s="69">
        <f ca="1">'4 ESZI bev'!X18</f>
        <v>12232657.096799999</v>
      </c>
      <c r="AK37" s="73">
        <f ca="1">D37+G37+J37+P37+S37+Y37+AH37+AE37</f>
        <v>30162938</v>
      </c>
      <c r="AL37" s="73">
        <f ca="1">E37+H37+K37+Q37+T37+Z37+AI37+AF37</f>
        <v>31118992</v>
      </c>
      <c r="AM37" s="377">
        <f t="shared" ca="1" si="3"/>
        <v>16577462.096799999</v>
      </c>
      <c r="AN37" s="28"/>
    </row>
    <row r="38" spans="1:40" x14ac:dyDescent="0.25">
      <c r="A38" s="64" t="s">
        <v>253</v>
      </c>
      <c r="B38" s="1" t="s">
        <v>78</v>
      </c>
      <c r="C38" s="30" t="s">
        <v>83</v>
      </c>
      <c r="D38" s="69">
        <f>'4 ESZI bev'!D19</f>
        <v>75295754</v>
      </c>
      <c r="E38" s="69">
        <f>'4 ESZI bev'!E19</f>
        <v>75295754</v>
      </c>
      <c r="F38" s="69">
        <f>'4 ESZI bev'!F19</f>
        <v>32795785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>
        <f>'4 ESZI bev'!K16</f>
        <v>532500</v>
      </c>
      <c r="R38" s="69">
        <f>'4 ESZI bev'!L19</f>
        <v>257736</v>
      </c>
      <c r="S38" s="69"/>
      <c r="T38" s="69"/>
      <c r="U38" s="69"/>
      <c r="V38" s="69"/>
      <c r="W38" s="69"/>
      <c r="X38" s="69"/>
      <c r="Y38" s="69"/>
      <c r="Z38" s="69"/>
      <c r="AA38" s="69"/>
      <c r="AB38" s="69">
        <f>'4 ESZI bev'!P17</f>
        <v>1750000</v>
      </c>
      <c r="AC38" s="69">
        <f>'4 ESZI bev'!Q19</f>
        <v>1750000</v>
      </c>
      <c r="AD38" s="69">
        <f>'4 ESZI bev'!R19</f>
        <v>1850000</v>
      </c>
      <c r="AE38" s="69">
        <f>'4 ESZI bev'!Y17</f>
        <v>1855656</v>
      </c>
      <c r="AF38" s="69">
        <f>'4 ESZI bev'!Z19</f>
        <v>2030040</v>
      </c>
      <c r="AG38" s="69">
        <f>'4 ESZI bev'!AA19</f>
        <v>2030040</v>
      </c>
      <c r="AH38" s="69">
        <f>'4 ESZI bev'!V19</f>
        <v>158452026</v>
      </c>
      <c r="AI38" s="69">
        <f>'4 ESZI bev'!W19</f>
        <v>168966572</v>
      </c>
      <c r="AJ38" s="69">
        <f>'4 ESZI bev'!X19</f>
        <v>83616546</v>
      </c>
      <c r="AK38" s="73">
        <f>D38+G38+J38+P38+S38+Y38+AH38+AE38+AB38</f>
        <v>237353436</v>
      </c>
      <c r="AL38" s="73">
        <f>E38+H38+K38+Q38+T38+Z38+AI38+AF38+AC38</f>
        <v>248574866</v>
      </c>
      <c r="AM38" s="377">
        <f t="shared" si="3"/>
        <v>120550107</v>
      </c>
      <c r="AN38" s="28"/>
    </row>
    <row r="39" spans="1:40" ht="15.75" x14ac:dyDescent="0.25">
      <c r="A39" s="64" t="s">
        <v>144</v>
      </c>
      <c r="B39" s="26"/>
      <c r="C39" s="25" t="s">
        <v>84</v>
      </c>
      <c r="D39" s="40">
        <f ca="1">D29+D33+D36+D25</f>
        <v>132633381</v>
      </c>
      <c r="E39" s="40">
        <f t="shared" ref="E39:AM39" ca="1" si="17">E29+E33+E36+E25</f>
        <v>132633381</v>
      </c>
      <c r="F39" s="40">
        <f t="shared" ca="1" si="17"/>
        <v>61170296</v>
      </c>
      <c r="G39" s="40">
        <f t="shared" si="17"/>
        <v>106835000</v>
      </c>
      <c r="H39" s="40">
        <f t="shared" si="17"/>
        <v>106835000</v>
      </c>
      <c r="I39" s="40">
        <f t="shared" si="17"/>
        <v>54729860</v>
      </c>
      <c r="J39" s="40">
        <f t="shared" si="17"/>
        <v>632212121</v>
      </c>
      <c r="K39" s="40">
        <f t="shared" si="17"/>
        <v>644798021</v>
      </c>
      <c r="L39" s="40">
        <f t="shared" si="17"/>
        <v>335909448</v>
      </c>
      <c r="M39" s="40">
        <f t="shared" si="17"/>
        <v>20000000</v>
      </c>
      <c r="N39" s="40">
        <f t="shared" si="17"/>
        <v>20000000</v>
      </c>
      <c r="O39" s="40">
        <f t="shared" si="17"/>
        <v>19999990</v>
      </c>
      <c r="P39" s="40">
        <f t="shared" si="17"/>
        <v>16845700</v>
      </c>
      <c r="Q39" s="40">
        <f t="shared" si="17"/>
        <v>51179902</v>
      </c>
      <c r="R39" s="40">
        <f t="shared" si="17"/>
        <v>38954588</v>
      </c>
      <c r="S39" s="40">
        <f t="shared" si="17"/>
        <v>0</v>
      </c>
      <c r="T39" s="40">
        <f t="shared" si="17"/>
        <v>184343840</v>
      </c>
      <c r="U39" s="40">
        <f t="shared" si="17"/>
        <v>36913962</v>
      </c>
      <c r="V39" s="40">
        <f t="shared" si="17"/>
        <v>10072300</v>
      </c>
      <c r="W39" s="40">
        <f t="shared" si="17"/>
        <v>10072300</v>
      </c>
      <c r="X39" s="40">
        <f t="shared" si="17"/>
        <v>6140595</v>
      </c>
      <c r="Y39" s="40">
        <f t="shared" si="17"/>
        <v>2000000</v>
      </c>
      <c r="Z39" s="40">
        <f t="shared" si="17"/>
        <v>2000000</v>
      </c>
      <c r="AA39" s="40">
        <f t="shared" si="17"/>
        <v>2000000</v>
      </c>
      <c r="AB39" s="40">
        <f t="shared" si="17"/>
        <v>1750000</v>
      </c>
      <c r="AC39" s="40">
        <f t="shared" si="17"/>
        <v>1750000</v>
      </c>
      <c r="AD39" s="40">
        <f t="shared" si="17"/>
        <v>6431176</v>
      </c>
      <c r="AE39" s="40">
        <f t="shared" ca="1" si="17"/>
        <v>396748087</v>
      </c>
      <c r="AF39" s="40">
        <f t="shared" ca="1" si="17"/>
        <v>396888687</v>
      </c>
      <c r="AG39" s="40">
        <f t="shared" si="17"/>
        <v>396888687</v>
      </c>
      <c r="AH39" s="40">
        <f t="shared" ca="1" si="17"/>
        <v>486765868</v>
      </c>
      <c r="AI39" s="40">
        <f t="shared" ca="1" si="17"/>
        <v>501938405</v>
      </c>
      <c r="AJ39" s="40">
        <f t="shared" ca="1" si="17"/>
        <v>240812443.0968</v>
      </c>
      <c r="AK39" s="40">
        <f t="shared" ca="1" si="17"/>
        <v>1805862457</v>
      </c>
      <c r="AL39" s="40">
        <f t="shared" ca="1" si="17"/>
        <v>2052439536</v>
      </c>
      <c r="AM39" s="40">
        <f t="shared" ca="1" si="17"/>
        <v>1199951045.0967999</v>
      </c>
    </row>
    <row r="40" spans="1:40" ht="15.75" x14ac:dyDescent="0.25">
      <c r="A40" s="64" t="s">
        <v>145</v>
      </c>
      <c r="B40" s="26"/>
      <c r="C40" s="25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40"/>
      <c r="AM40" s="377">
        <f t="shared" si="3"/>
        <v>0</v>
      </c>
    </row>
    <row r="41" spans="1:40" x14ac:dyDescent="0.25">
      <c r="A41" s="64" t="s">
        <v>146</v>
      </c>
      <c r="B41" s="23"/>
      <c r="C41" s="23" t="s">
        <v>85</v>
      </c>
      <c r="D41" s="68">
        <f ca="1">D26+D30+D34+D37</f>
        <v>29357114</v>
      </c>
      <c r="E41" s="68">
        <f t="shared" ref="E41:AM41" ca="1" si="18">E26+E30+E34+E37</f>
        <v>29357114</v>
      </c>
      <c r="F41" s="68">
        <f t="shared" ca="1" si="18"/>
        <v>19642542</v>
      </c>
      <c r="G41" s="68">
        <f t="shared" si="18"/>
        <v>106835000</v>
      </c>
      <c r="H41" s="68">
        <f t="shared" si="18"/>
        <v>106835000</v>
      </c>
      <c r="I41" s="68">
        <f t="shared" si="18"/>
        <v>54729860</v>
      </c>
      <c r="J41" s="68">
        <f t="shared" si="18"/>
        <v>632212121</v>
      </c>
      <c r="K41" s="68">
        <f t="shared" si="18"/>
        <v>644798021</v>
      </c>
      <c r="L41" s="68">
        <f t="shared" si="18"/>
        <v>335909448</v>
      </c>
      <c r="M41" s="68">
        <f t="shared" si="18"/>
        <v>20000000</v>
      </c>
      <c r="N41" s="68">
        <f t="shared" si="18"/>
        <v>20000000</v>
      </c>
      <c r="O41" s="68">
        <f t="shared" si="18"/>
        <v>19999990</v>
      </c>
      <c r="P41" s="68">
        <f t="shared" si="18"/>
        <v>15505700</v>
      </c>
      <c r="Q41" s="68">
        <f t="shared" si="18"/>
        <v>17730152</v>
      </c>
      <c r="R41" s="68">
        <f t="shared" si="18"/>
        <v>14436105</v>
      </c>
      <c r="S41" s="68">
        <f t="shared" si="18"/>
        <v>0</v>
      </c>
      <c r="T41" s="68">
        <f t="shared" si="18"/>
        <v>0</v>
      </c>
      <c r="U41" s="68">
        <f t="shared" si="18"/>
        <v>0</v>
      </c>
      <c r="V41" s="68">
        <f t="shared" si="18"/>
        <v>10072300</v>
      </c>
      <c r="W41" s="68">
        <f t="shared" si="18"/>
        <v>10072300</v>
      </c>
      <c r="X41" s="68">
        <f t="shared" si="18"/>
        <v>6140595</v>
      </c>
      <c r="Y41" s="68">
        <f t="shared" si="18"/>
        <v>2000000</v>
      </c>
      <c r="Z41" s="68">
        <f t="shared" si="18"/>
        <v>2000000</v>
      </c>
      <c r="AA41" s="68">
        <f t="shared" si="18"/>
        <v>2000000</v>
      </c>
      <c r="AB41" s="68">
        <f t="shared" si="18"/>
        <v>0</v>
      </c>
      <c r="AC41" s="68">
        <f t="shared" si="18"/>
        <v>0</v>
      </c>
      <c r="AD41" s="68">
        <f t="shared" si="18"/>
        <v>4581176</v>
      </c>
      <c r="AE41" s="68">
        <f t="shared" ca="1" si="18"/>
        <v>394892431</v>
      </c>
      <c r="AF41" s="68">
        <f t="shared" ca="1" si="18"/>
        <v>394858647</v>
      </c>
      <c r="AG41" s="68">
        <f t="shared" si="18"/>
        <v>394858647</v>
      </c>
      <c r="AH41" s="68">
        <f t="shared" ca="1" si="18"/>
        <v>314357657</v>
      </c>
      <c r="AI41" s="68">
        <f t="shared" ca="1" si="18"/>
        <v>319015648</v>
      </c>
      <c r="AJ41" s="68">
        <f t="shared" ca="1" si="18"/>
        <v>150234552.01879999</v>
      </c>
      <c r="AK41" s="68">
        <f t="shared" ca="1" si="18"/>
        <v>1525232323</v>
      </c>
      <c r="AL41" s="68">
        <f t="shared" ca="1" si="18"/>
        <v>1544666882</v>
      </c>
      <c r="AM41" s="68">
        <f t="shared" ca="1" si="18"/>
        <v>1002532915.0188</v>
      </c>
    </row>
    <row r="42" spans="1:40" s="29" customFormat="1" x14ac:dyDescent="0.25">
      <c r="A42" s="64" t="s">
        <v>147</v>
      </c>
      <c r="B42" s="23"/>
      <c r="C42" s="23" t="s">
        <v>86</v>
      </c>
      <c r="D42" s="68">
        <f>D28+D31+D35+D38</f>
        <v>103018517</v>
      </c>
      <c r="E42" s="68">
        <f t="shared" ref="E42:AM42" si="19">E28+E31+E35+E38</f>
        <v>103018517</v>
      </c>
      <c r="F42" s="68">
        <f t="shared" si="19"/>
        <v>41398618</v>
      </c>
      <c r="G42" s="68">
        <f t="shared" si="19"/>
        <v>0</v>
      </c>
      <c r="H42" s="68">
        <f t="shared" si="19"/>
        <v>0</v>
      </c>
      <c r="I42" s="68">
        <f t="shared" si="19"/>
        <v>0</v>
      </c>
      <c r="J42" s="68">
        <f t="shared" si="19"/>
        <v>0</v>
      </c>
      <c r="K42" s="68">
        <f t="shared" si="19"/>
        <v>0</v>
      </c>
      <c r="L42" s="68">
        <f t="shared" si="19"/>
        <v>0</v>
      </c>
      <c r="M42" s="68">
        <f t="shared" si="19"/>
        <v>0</v>
      </c>
      <c r="N42" s="68">
        <f t="shared" si="19"/>
        <v>0</v>
      </c>
      <c r="O42" s="68">
        <f t="shared" si="19"/>
        <v>0</v>
      </c>
      <c r="P42" s="68">
        <f t="shared" si="19"/>
        <v>1340000</v>
      </c>
      <c r="Q42" s="68">
        <f t="shared" si="19"/>
        <v>33449750</v>
      </c>
      <c r="R42" s="68">
        <f t="shared" si="19"/>
        <v>24518483</v>
      </c>
      <c r="S42" s="68">
        <f t="shared" si="19"/>
        <v>0</v>
      </c>
      <c r="T42" s="68">
        <f t="shared" si="19"/>
        <v>184343840</v>
      </c>
      <c r="U42" s="68">
        <f t="shared" si="19"/>
        <v>36913962</v>
      </c>
      <c r="V42" s="68">
        <f t="shared" si="19"/>
        <v>0</v>
      </c>
      <c r="W42" s="68">
        <f t="shared" si="19"/>
        <v>0</v>
      </c>
      <c r="X42" s="68">
        <f t="shared" si="19"/>
        <v>0</v>
      </c>
      <c r="Y42" s="68">
        <f t="shared" si="19"/>
        <v>0</v>
      </c>
      <c r="Z42" s="68">
        <f t="shared" si="19"/>
        <v>0</v>
      </c>
      <c r="AA42" s="68">
        <f t="shared" si="19"/>
        <v>0</v>
      </c>
      <c r="AB42" s="68">
        <f t="shared" si="19"/>
        <v>1750000</v>
      </c>
      <c r="AC42" s="68">
        <f t="shared" si="19"/>
        <v>1750000</v>
      </c>
      <c r="AD42" s="68">
        <f t="shared" si="19"/>
        <v>1850000</v>
      </c>
      <c r="AE42" s="68">
        <f t="shared" si="19"/>
        <v>1855656</v>
      </c>
      <c r="AF42" s="68">
        <f t="shared" si="19"/>
        <v>2030040</v>
      </c>
      <c r="AG42" s="68">
        <v>2030040</v>
      </c>
      <c r="AH42" s="68">
        <f t="shared" si="19"/>
        <v>158452026</v>
      </c>
      <c r="AI42" s="68">
        <f t="shared" si="19"/>
        <v>168966572</v>
      </c>
      <c r="AJ42" s="68">
        <f t="shared" si="19"/>
        <v>83616546</v>
      </c>
      <c r="AK42" s="68">
        <f t="shared" si="19"/>
        <v>266416199</v>
      </c>
      <c r="AL42" s="68">
        <f t="shared" si="19"/>
        <v>493558719</v>
      </c>
      <c r="AM42" s="68">
        <f t="shared" si="19"/>
        <v>190327649</v>
      </c>
    </row>
    <row r="43" spans="1:40" x14ac:dyDescent="0.25">
      <c r="A43" s="64" t="s">
        <v>416</v>
      </c>
      <c r="B43" s="23"/>
      <c r="C43" s="23" t="s">
        <v>119</v>
      </c>
      <c r="D43" s="68">
        <f>D27</f>
        <v>0</v>
      </c>
      <c r="E43" s="68">
        <f>E32</f>
        <v>257750</v>
      </c>
      <c r="F43" s="68">
        <f t="shared" ref="F43:AM43" si="20">F32</f>
        <v>129136</v>
      </c>
      <c r="G43" s="68">
        <f t="shared" si="20"/>
        <v>0</v>
      </c>
      <c r="H43" s="68">
        <f t="shared" si="20"/>
        <v>0</v>
      </c>
      <c r="I43" s="68">
        <f t="shared" si="20"/>
        <v>0</v>
      </c>
      <c r="J43" s="68">
        <f t="shared" si="20"/>
        <v>0</v>
      </c>
      <c r="K43" s="68">
        <f t="shared" si="20"/>
        <v>0</v>
      </c>
      <c r="L43" s="68">
        <f t="shared" si="20"/>
        <v>0</v>
      </c>
      <c r="M43" s="68">
        <f t="shared" si="20"/>
        <v>0</v>
      </c>
      <c r="N43" s="68">
        <f t="shared" si="20"/>
        <v>0</v>
      </c>
      <c r="O43" s="68">
        <f t="shared" si="20"/>
        <v>0</v>
      </c>
      <c r="P43" s="68">
        <f t="shared" si="20"/>
        <v>0</v>
      </c>
      <c r="Q43" s="68">
        <f t="shared" si="20"/>
        <v>0</v>
      </c>
      <c r="R43" s="68">
        <f t="shared" si="20"/>
        <v>0</v>
      </c>
      <c r="S43" s="68">
        <f t="shared" si="20"/>
        <v>0</v>
      </c>
      <c r="T43" s="68">
        <f t="shared" si="20"/>
        <v>0</v>
      </c>
      <c r="U43" s="68">
        <f t="shared" si="20"/>
        <v>0</v>
      </c>
      <c r="V43" s="68">
        <f t="shared" si="20"/>
        <v>0</v>
      </c>
      <c r="W43" s="68">
        <f t="shared" si="20"/>
        <v>0</v>
      </c>
      <c r="X43" s="68">
        <f t="shared" si="20"/>
        <v>0</v>
      </c>
      <c r="Y43" s="68">
        <f t="shared" si="20"/>
        <v>0</v>
      </c>
      <c r="Z43" s="68">
        <f t="shared" si="20"/>
        <v>0</v>
      </c>
      <c r="AA43" s="68">
        <f t="shared" si="20"/>
        <v>0</v>
      </c>
      <c r="AB43" s="68">
        <f t="shared" si="20"/>
        <v>0</v>
      </c>
      <c r="AC43" s="68">
        <f t="shared" si="20"/>
        <v>0</v>
      </c>
      <c r="AD43" s="68">
        <f t="shared" si="20"/>
        <v>0</v>
      </c>
      <c r="AE43" s="68">
        <f t="shared" si="20"/>
        <v>0</v>
      </c>
      <c r="AF43" s="68">
        <f t="shared" si="20"/>
        <v>0</v>
      </c>
      <c r="AG43" s="68">
        <f t="shared" si="20"/>
        <v>0</v>
      </c>
      <c r="AH43" s="68">
        <f t="shared" si="20"/>
        <v>13956185</v>
      </c>
      <c r="AI43" s="68">
        <f t="shared" si="20"/>
        <v>13956185</v>
      </c>
      <c r="AJ43" s="68">
        <f t="shared" si="20"/>
        <v>6961345.0780000007</v>
      </c>
      <c r="AK43" s="68">
        <f t="shared" si="20"/>
        <v>14213935</v>
      </c>
      <c r="AL43" s="68">
        <f t="shared" si="20"/>
        <v>14213935</v>
      </c>
      <c r="AM43" s="68">
        <f t="shared" si="20"/>
        <v>7090481.0780000007</v>
      </c>
    </row>
    <row r="44" spans="1:40" x14ac:dyDescent="0.25">
      <c r="A44" s="64" t="s">
        <v>417</v>
      </c>
      <c r="B44" s="31"/>
      <c r="C44" s="31" t="s">
        <v>87</v>
      </c>
      <c r="D44" s="71">
        <f ca="1">SUM(D41:D43)</f>
        <v>132375631</v>
      </c>
      <c r="E44" s="71">
        <f t="shared" ref="E44:AM44" ca="1" si="21">SUM(E41:E43)</f>
        <v>132633381</v>
      </c>
      <c r="F44" s="71">
        <f ca="1">SUM(F41:F43)</f>
        <v>61170296</v>
      </c>
      <c r="G44" s="71">
        <f t="shared" si="21"/>
        <v>106835000</v>
      </c>
      <c r="H44" s="71">
        <f t="shared" si="21"/>
        <v>106835000</v>
      </c>
      <c r="I44" s="71">
        <f t="shared" si="21"/>
        <v>54729860</v>
      </c>
      <c r="J44" s="71">
        <f t="shared" si="21"/>
        <v>632212121</v>
      </c>
      <c r="K44" s="71">
        <f t="shared" si="21"/>
        <v>644798021</v>
      </c>
      <c r="L44" s="71">
        <f t="shared" si="21"/>
        <v>335909448</v>
      </c>
      <c r="M44" s="71">
        <f t="shared" si="21"/>
        <v>20000000</v>
      </c>
      <c r="N44" s="71">
        <f t="shared" si="21"/>
        <v>20000000</v>
      </c>
      <c r="O44" s="71">
        <f t="shared" si="21"/>
        <v>19999990</v>
      </c>
      <c r="P44" s="71">
        <f t="shared" si="21"/>
        <v>16845700</v>
      </c>
      <c r="Q44" s="71">
        <f t="shared" si="21"/>
        <v>51179902</v>
      </c>
      <c r="R44" s="71">
        <f t="shared" si="21"/>
        <v>38954588</v>
      </c>
      <c r="S44" s="71">
        <f t="shared" si="21"/>
        <v>0</v>
      </c>
      <c r="T44" s="71">
        <f t="shared" si="21"/>
        <v>184343840</v>
      </c>
      <c r="U44" s="71">
        <f t="shared" si="21"/>
        <v>36913962</v>
      </c>
      <c r="V44" s="71">
        <f t="shared" si="21"/>
        <v>10072300</v>
      </c>
      <c r="W44" s="71">
        <f t="shared" si="21"/>
        <v>10072300</v>
      </c>
      <c r="X44" s="71">
        <f t="shared" si="21"/>
        <v>6140595</v>
      </c>
      <c r="Y44" s="71">
        <f t="shared" si="21"/>
        <v>2000000</v>
      </c>
      <c r="Z44" s="71">
        <f t="shared" si="21"/>
        <v>2000000</v>
      </c>
      <c r="AA44" s="71">
        <f t="shared" si="21"/>
        <v>2000000</v>
      </c>
      <c r="AB44" s="71">
        <f t="shared" si="21"/>
        <v>1750000</v>
      </c>
      <c r="AC44" s="71">
        <f t="shared" si="21"/>
        <v>1750000</v>
      </c>
      <c r="AD44" s="71">
        <f t="shared" si="21"/>
        <v>6431176</v>
      </c>
      <c r="AE44" s="71">
        <f t="shared" ca="1" si="21"/>
        <v>396748087</v>
      </c>
      <c r="AF44" s="71">
        <f t="shared" ca="1" si="21"/>
        <v>396888687</v>
      </c>
      <c r="AG44" s="71">
        <f t="shared" si="21"/>
        <v>396888687</v>
      </c>
      <c r="AH44" s="71">
        <f t="shared" ca="1" si="21"/>
        <v>486765868</v>
      </c>
      <c r="AI44" s="71">
        <f t="shared" ca="1" si="21"/>
        <v>501938405</v>
      </c>
      <c r="AJ44" s="71">
        <f t="shared" ca="1" si="21"/>
        <v>240812443.0968</v>
      </c>
      <c r="AK44" s="71">
        <f t="shared" ca="1" si="21"/>
        <v>1805862457</v>
      </c>
      <c r="AL44" s="71">
        <f t="shared" ca="1" si="21"/>
        <v>2052439536</v>
      </c>
      <c r="AM44" s="71">
        <f t="shared" ca="1" si="21"/>
        <v>1199951045.0968001</v>
      </c>
    </row>
    <row r="45" spans="1:40" x14ac:dyDescent="0.25">
      <c r="AM45" s="117"/>
      <c r="AN45" s="108"/>
    </row>
    <row r="46" spans="1:40" x14ac:dyDescent="0.25">
      <c r="D46" s="108"/>
      <c r="G46" s="117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13"/>
      <c r="AI46" s="108"/>
      <c r="AJ46" s="108"/>
      <c r="AK46" s="108"/>
      <c r="AL46" s="108"/>
    </row>
    <row r="47" spans="1:40" x14ac:dyDescent="0.25">
      <c r="D47" s="108"/>
      <c r="G47" s="116"/>
      <c r="AE47" s="345"/>
      <c r="AH47" s="115"/>
      <c r="AK47" s="108"/>
      <c r="AM47" s="108"/>
    </row>
    <row r="48" spans="1:40" x14ac:dyDescent="0.25">
      <c r="D48" s="108"/>
      <c r="AL48" s="108"/>
      <c r="AM48" s="108"/>
    </row>
  </sheetData>
  <mergeCells count="24">
    <mergeCell ref="AE4:AF4"/>
    <mergeCell ref="AH4:AI4"/>
    <mergeCell ref="AK4:AL4"/>
    <mergeCell ref="M4:N4"/>
    <mergeCell ref="P4:Q4"/>
    <mergeCell ref="S4:T4"/>
    <mergeCell ref="Y4:Z4"/>
    <mergeCell ref="AB4:AC4"/>
    <mergeCell ref="V5:W5"/>
    <mergeCell ref="V4:W4"/>
    <mergeCell ref="C3:AL3"/>
    <mergeCell ref="D5:E5"/>
    <mergeCell ref="G5:H5"/>
    <mergeCell ref="J5:K5"/>
    <mergeCell ref="P5:Q5"/>
    <mergeCell ref="S5:T5"/>
    <mergeCell ref="Y5:Z5"/>
    <mergeCell ref="AH5:AI5"/>
    <mergeCell ref="AK5:AL5"/>
    <mergeCell ref="M5:N5"/>
    <mergeCell ref="AE5:AF5"/>
    <mergeCell ref="AB5:AC5"/>
    <mergeCell ref="D4:E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37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D13"/>
  <sheetViews>
    <sheetView zoomScaleNormal="100" zoomScaleSheetLayoutView="100" workbookViewId="0">
      <pane xSplit="3" ySplit="4" topLeftCell="K5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9.28515625" defaultRowHeight="15" x14ac:dyDescent="0.25"/>
  <cols>
    <col min="1" max="1" width="5.5703125" style="42" customWidth="1"/>
    <col min="2" max="2" width="15.28515625" style="42" customWidth="1"/>
    <col min="3" max="3" width="31.28515625" style="42" bestFit="1" customWidth="1"/>
    <col min="4" max="4" width="12.7109375" style="42" customWidth="1"/>
    <col min="5" max="5" width="9.5703125" style="42" bestFit="1" customWidth="1"/>
    <col min="6" max="6" width="8.85546875" style="306" customWidth="1"/>
    <col min="7" max="7" width="10.5703125" style="42" bestFit="1" customWidth="1"/>
    <col min="8" max="8" width="7.85546875" style="42" bestFit="1" customWidth="1"/>
    <col min="9" max="9" width="7.85546875" style="306" customWidth="1"/>
    <col min="10" max="10" width="10.5703125" style="42" bestFit="1" customWidth="1"/>
    <col min="11" max="11" width="10.140625" style="42" customWidth="1"/>
    <col min="12" max="12" width="10.140625" style="306" customWidth="1"/>
    <col min="13" max="13" width="10.5703125" style="42" bestFit="1" customWidth="1"/>
    <col min="14" max="14" width="7.85546875" style="42" bestFit="1" customWidth="1"/>
    <col min="15" max="15" width="7.85546875" style="306" customWidth="1"/>
    <col min="16" max="16" width="9.5703125" style="42" bestFit="1" customWidth="1"/>
    <col min="17" max="17" width="7.85546875" style="42" bestFit="1" customWidth="1"/>
    <col min="18" max="18" width="7.85546875" style="306" customWidth="1"/>
    <col min="19" max="19" width="10.5703125" style="42" customWidth="1"/>
    <col min="20" max="20" width="7.85546875" style="42" bestFit="1" customWidth="1"/>
    <col min="21" max="21" width="7.85546875" style="306" customWidth="1"/>
    <col min="22" max="22" width="13.42578125" style="42" customWidth="1"/>
    <col min="23" max="23" width="13.7109375" style="42" customWidth="1"/>
    <col min="24" max="24" width="12.28515625" style="306" customWidth="1"/>
    <col min="25" max="25" width="10.5703125" style="42" bestFit="1" customWidth="1"/>
    <col min="26" max="26" width="11.140625" style="42" bestFit="1" customWidth="1"/>
    <col min="27" max="27" width="8.85546875" style="306" customWidth="1"/>
    <col min="28" max="28" width="12.5703125" style="42" customWidth="1"/>
    <col min="29" max="29" width="14.140625" style="42" customWidth="1"/>
    <col min="30" max="30" width="11" style="42" customWidth="1"/>
    <col min="31" max="16384" width="9.28515625" style="42"/>
  </cols>
  <sheetData>
    <row r="1" spans="1:30" x14ac:dyDescent="0.25">
      <c r="A1" s="517" t="s">
        <v>419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</row>
    <row r="2" spans="1:30" ht="74.25" customHeight="1" x14ac:dyDescent="0.25">
      <c r="A2" s="92"/>
      <c r="B2" s="92"/>
      <c r="C2" s="518" t="s">
        <v>343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314"/>
    </row>
    <row r="3" spans="1:30" ht="43.5" customHeight="1" x14ac:dyDescent="0.25">
      <c r="A3" s="53" t="s">
        <v>53</v>
      </c>
      <c r="B3" s="53" t="s">
        <v>61</v>
      </c>
      <c r="C3" s="396" t="s">
        <v>54</v>
      </c>
      <c r="D3" s="515" t="s">
        <v>55</v>
      </c>
      <c r="E3" s="516"/>
      <c r="F3" s="398"/>
      <c r="G3" s="515" t="s">
        <v>56</v>
      </c>
      <c r="H3" s="516"/>
      <c r="I3" s="398"/>
      <c r="J3" s="515" t="s">
        <v>63</v>
      </c>
      <c r="K3" s="516"/>
      <c r="L3" s="398"/>
      <c r="M3" s="515" t="s">
        <v>65</v>
      </c>
      <c r="N3" s="516"/>
      <c r="O3" s="398"/>
      <c r="P3" s="515" t="s">
        <v>66</v>
      </c>
      <c r="Q3" s="516"/>
      <c r="R3" s="398"/>
      <c r="S3" s="515" t="s">
        <v>67</v>
      </c>
      <c r="T3" s="516"/>
      <c r="U3" s="398"/>
      <c r="V3" s="515" t="s">
        <v>68</v>
      </c>
      <c r="W3" s="516"/>
      <c r="X3" s="398"/>
      <c r="Y3" s="515" t="s">
        <v>99</v>
      </c>
      <c r="Z3" s="516"/>
      <c r="AA3" s="398"/>
      <c r="AB3" s="515" t="s">
        <v>93</v>
      </c>
      <c r="AC3" s="516"/>
      <c r="AD3" s="389"/>
    </row>
    <row r="4" spans="1:30" ht="81.75" customHeight="1" x14ac:dyDescent="0.25">
      <c r="A4" s="93" t="s">
        <v>1</v>
      </c>
      <c r="B4" s="44" t="s">
        <v>69</v>
      </c>
      <c r="C4" s="395" t="s">
        <v>70</v>
      </c>
      <c r="D4" s="513" t="s">
        <v>59</v>
      </c>
      <c r="E4" s="514"/>
      <c r="F4" s="397"/>
      <c r="G4" s="513" t="s">
        <v>58</v>
      </c>
      <c r="H4" s="514"/>
      <c r="I4" s="399"/>
      <c r="J4" s="513" t="s">
        <v>72</v>
      </c>
      <c r="K4" s="514"/>
      <c r="L4" s="399"/>
      <c r="M4" s="513" t="s">
        <v>73</v>
      </c>
      <c r="N4" s="514"/>
      <c r="O4" s="399"/>
      <c r="P4" s="513" t="s">
        <v>74</v>
      </c>
      <c r="Q4" s="514"/>
      <c r="R4" s="399"/>
      <c r="S4" s="513" t="s">
        <v>88</v>
      </c>
      <c r="T4" s="514"/>
      <c r="U4" s="399"/>
      <c r="V4" s="513" t="s">
        <v>89</v>
      </c>
      <c r="W4" s="514"/>
      <c r="X4" s="399"/>
      <c r="Y4" s="513" t="s">
        <v>117</v>
      </c>
      <c r="Z4" s="514"/>
      <c r="AA4" s="399"/>
      <c r="AB4" s="513" t="s">
        <v>76</v>
      </c>
      <c r="AC4" s="514"/>
      <c r="AD4" s="400"/>
    </row>
    <row r="5" spans="1:30" ht="57" x14ac:dyDescent="0.25">
      <c r="A5" s="93" t="s">
        <v>3</v>
      </c>
      <c r="B5" s="43"/>
      <c r="C5" s="45" t="s">
        <v>90</v>
      </c>
      <c r="D5" s="387" t="s">
        <v>344</v>
      </c>
      <c r="E5" s="374" t="s">
        <v>345</v>
      </c>
      <c r="F5" s="374" t="s">
        <v>410</v>
      </c>
      <c r="G5" s="387" t="s">
        <v>344</v>
      </c>
      <c r="H5" s="374" t="s">
        <v>345</v>
      </c>
      <c r="I5" s="374" t="s">
        <v>405</v>
      </c>
      <c r="J5" s="387" t="s">
        <v>344</v>
      </c>
      <c r="K5" s="374" t="s">
        <v>345</v>
      </c>
      <c r="L5" s="374" t="s">
        <v>405</v>
      </c>
      <c r="M5" s="387" t="s">
        <v>344</v>
      </c>
      <c r="N5" s="374" t="s">
        <v>345</v>
      </c>
      <c r="O5" s="374" t="s">
        <v>405</v>
      </c>
      <c r="P5" s="387" t="s">
        <v>344</v>
      </c>
      <c r="Q5" s="374" t="s">
        <v>345</v>
      </c>
      <c r="R5" s="374" t="s">
        <v>405</v>
      </c>
      <c r="S5" s="387" t="s">
        <v>344</v>
      </c>
      <c r="T5" s="374" t="s">
        <v>345</v>
      </c>
      <c r="U5" s="374" t="s">
        <v>405</v>
      </c>
      <c r="V5" s="387" t="s">
        <v>344</v>
      </c>
      <c r="W5" s="374" t="s">
        <v>345</v>
      </c>
      <c r="X5" s="374" t="s">
        <v>405</v>
      </c>
      <c r="Y5" s="387" t="s">
        <v>344</v>
      </c>
      <c r="Z5" s="374" t="s">
        <v>345</v>
      </c>
      <c r="AA5" s="374" t="s">
        <v>405</v>
      </c>
      <c r="AB5" s="387" t="s">
        <v>344</v>
      </c>
      <c r="AC5" s="374" t="s">
        <v>345</v>
      </c>
      <c r="AD5" s="374" t="s">
        <v>410</v>
      </c>
    </row>
    <row r="6" spans="1:30" s="306" customFormat="1" ht="15.75" x14ac:dyDescent="0.25">
      <c r="A6" s="93" t="s">
        <v>4</v>
      </c>
      <c r="B6" s="43"/>
      <c r="C6" s="390" t="s">
        <v>407</v>
      </c>
      <c r="D6" s="401">
        <v>257750</v>
      </c>
      <c r="E6" s="403">
        <v>257750</v>
      </c>
      <c r="F6" s="403">
        <v>129136</v>
      </c>
      <c r="G6" s="401"/>
      <c r="H6" s="403"/>
      <c r="I6" s="403"/>
      <c r="J6" s="401"/>
      <c r="K6" s="403"/>
      <c r="L6" s="403"/>
      <c r="M6" s="401"/>
      <c r="N6" s="403"/>
      <c r="O6" s="403"/>
      <c r="P6" s="401"/>
      <c r="Q6" s="403"/>
      <c r="R6" s="403"/>
      <c r="S6" s="401"/>
      <c r="T6" s="403"/>
      <c r="U6" s="403"/>
      <c r="V6" s="75">
        <v>121186622</v>
      </c>
      <c r="W6" s="94">
        <f>V6</f>
        <v>121186622</v>
      </c>
      <c r="X6" s="403">
        <v>60442677</v>
      </c>
      <c r="Y6" s="401">
        <v>179306</v>
      </c>
      <c r="Z6" s="403">
        <v>197866</v>
      </c>
      <c r="AA6" s="403">
        <v>197866</v>
      </c>
      <c r="AB6" s="401">
        <f>D6+G6+J6+M6+P6+S6+V6+Y6</f>
        <v>121623678</v>
      </c>
      <c r="AC6" s="403">
        <f>E6+H6+K6+N6+Q6+T6+W6+Z6</f>
        <v>121642238</v>
      </c>
      <c r="AD6" s="404">
        <f>F6+I6+L6+O6+R6+U6+X6+AA6</f>
        <v>60769679</v>
      </c>
    </row>
    <row r="7" spans="1:30" s="306" customFormat="1" ht="15.75" x14ac:dyDescent="0.25">
      <c r="A7" s="93" t="s">
        <v>6</v>
      </c>
      <c r="B7" s="43"/>
      <c r="C7" s="390" t="s">
        <v>408</v>
      </c>
      <c r="D7" s="402"/>
      <c r="E7" s="403"/>
      <c r="F7" s="403"/>
      <c r="G7" s="401"/>
      <c r="H7" s="403"/>
      <c r="I7" s="403"/>
      <c r="J7" s="401"/>
      <c r="K7" s="403"/>
      <c r="L7" s="403">
        <v>3704229</v>
      </c>
      <c r="M7" s="401"/>
      <c r="N7" s="403"/>
      <c r="O7" s="403"/>
      <c r="P7" s="401"/>
      <c r="Q7" s="403"/>
      <c r="R7" s="403"/>
      <c r="S7" s="401"/>
      <c r="T7" s="403"/>
      <c r="U7" s="403"/>
      <c r="V7" s="401"/>
      <c r="W7" s="403"/>
      <c r="X7" s="403"/>
      <c r="Y7" s="401"/>
      <c r="Z7" s="403"/>
      <c r="AA7" s="403"/>
      <c r="AB7" s="401">
        <f t="shared" ref="AB7:AB8" si="0">D7+G7+J7+M7+P7+S7+V7+Y7</f>
        <v>0</v>
      </c>
      <c r="AC7" s="403">
        <f>E7+H7+K7+N7+Q7+T7+W7+Z7</f>
        <v>0</v>
      </c>
      <c r="AD7" s="404">
        <f t="shared" ref="AD7:AD8" si="1">F7+I7+L7+O7+R7+U7+X7+AA7</f>
        <v>3704229</v>
      </c>
    </row>
    <row r="8" spans="1:30" x14ac:dyDescent="0.25">
      <c r="A8" s="93" t="s">
        <v>19</v>
      </c>
      <c r="B8" s="43" t="s">
        <v>77</v>
      </c>
      <c r="C8" s="46" t="s">
        <v>409</v>
      </c>
      <c r="D8" s="75"/>
      <c r="E8" s="75">
        <f>D8</f>
        <v>0</v>
      </c>
      <c r="F8" s="75"/>
      <c r="G8" s="74"/>
      <c r="H8" s="74"/>
      <c r="I8" s="74"/>
      <c r="J8" s="74"/>
      <c r="K8" s="74">
        <v>2224452</v>
      </c>
      <c r="L8" s="74">
        <v>2311376</v>
      </c>
      <c r="M8" s="74"/>
      <c r="N8" s="74"/>
      <c r="O8" s="74"/>
      <c r="P8" s="74"/>
      <c r="Q8" s="74"/>
      <c r="R8" s="74"/>
      <c r="S8" s="74"/>
      <c r="T8" s="74"/>
      <c r="U8" s="74"/>
      <c r="V8" s="75"/>
      <c r="W8" s="94"/>
      <c r="X8" s="94"/>
      <c r="Y8" s="75"/>
      <c r="Z8" s="94"/>
      <c r="AA8" s="94"/>
      <c r="AB8" s="401">
        <f t="shared" si="0"/>
        <v>0</v>
      </c>
      <c r="AC8" s="126">
        <f>E8+H8+K8+N8+Q8+T8+W8+Z8</f>
        <v>2224452</v>
      </c>
      <c r="AD8" s="404">
        <f t="shared" si="1"/>
        <v>2311376</v>
      </c>
    </row>
    <row r="9" spans="1:30" ht="15.75" x14ac:dyDescent="0.25">
      <c r="A9" s="93" t="s">
        <v>21</v>
      </c>
      <c r="B9" s="43"/>
      <c r="C9" s="45" t="s">
        <v>91</v>
      </c>
      <c r="D9" s="76">
        <f>D6+D7+D8</f>
        <v>257750</v>
      </c>
      <c r="E9" s="76">
        <f t="shared" ref="E9:AA9" si="2">E6+E7+E8</f>
        <v>257750</v>
      </c>
      <c r="F9" s="76">
        <f t="shared" si="2"/>
        <v>129136</v>
      </c>
      <c r="G9" s="76">
        <f t="shared" si="2"/>
        <v>0</v>
      </c>
      <c r="H9" s="76">
        <f t="shared" si="2"/>
        <v>0</v>
      </c>
      <c r="I9" s="76">
        <f t="shared" si="2"/>
        <v>0</v>
      </c>
      <c r="J9" s="76">
        <f t="shared" si="2"/>
        <v>0</v>
      </c>
      <c r="K9" s="76">
        <f t="shared" si="2"/>
        <v>2224452</v>
      </c>
      <c r="L9" s="76">
        <f t="shared" si="2"/>
        <v>6015605</v>
      </c>
      <c r="M9" s="76">
        <f t="shared" si="2"/>
        <v>0</v>
      </c>
      <c r="N9" s="76">
        <f t="shared" si="2"/>
        <v>0</v>
      </c>
      <c r="O9" s="76">
        <f t="shared" si="2"/>
        <v>0</v>
      </c>
      <c r="P9" s="76">
        <f t="shared" si="2"/>
        <v>0</v>
      </c>
      <c r="Q9" s="76">
        <f t="shared" si="2"/>
        <v>0</v>
      </c>
      <c r="R9" s="76">
        <f t="shared" si="2"/>
        <v>0</v>
      </c>
      <c r="S9" s="76">
        <f t="shared" si="2"/>
        <v>0</v>
      </c>
      <c r="T9" s="76">
        <f t="shared" si="2"/>
        <v>0</v>
      </c>
      <c r="U9" s="76">
        <f t="shared" si="2"/>
        <v>0</v>
      </c>
      <c r="V9" s="76">
        <f t="shared" si="2"/>
        <v>121186622</v>
      </c>
      <c r="W9" s="76">
        <f t="shared" si="2"/>
        <v>121186622</v>
      </c>
      <c r="X9" s="76">
        <f t="shared" si="2"/>
        <v>60442677</v>
      </c>
      <c r="Y9" s="76">
        <f t="shared" si="2"/>
        <v>179306</v>
      </c>
      <c r="Z9" s="76">
        <f t="shared" si="2"/>
        <v>197866</v>
      </c>
      <c r="AA9" s="76">
        <f t="shared" si="2"/>
        <v>197866</v>
      </c>
      <c r="AB9" s="76">
        <f>AB6+AB7+AB8</f>
        <v>121623678</v>
      </c>
      <c r="AC9" s="76">
        <f t="shared" ref="AC9:AD9" si="3">AC6+AC7+AC8</f>
        <v>123866690</v>
      </c>
      <c r="AD9" s="76">
        <f t="shared" si="3"/>
        <v>66785284</v>
      </c>
    </row>
    <row r="10" spans="1:30" x14ac:dyDescent="0.25">
      <c r="A10" s="93" t="s">
        <v>22</v>
      </c>
      <c r="B10" s="47"/>
      <c r="C10" s="47" t="s">
        <v>92</v>
      </c>
      <c r="D10" s="77">
        <f>SUMIF($B8:$B8,"kötelező",D8:D8)</f>
        <v>0</v>
      </c>
      <c r="E10" s="77">
        <f>SUMIF($B8:$B8,"kötelező",E8:E8)</f>
        <v>0</v>
      </c>
      <c r="F10" s="77"/>
      <c r="G10" s="77">
        <f>SUMIF($B8:$B8,"kötelező",G8:G8)</f>
        <v>0</v>
      </c>
      <c r="H10" s="77">
        <f>SUMIF($B8:$B8,"kötelező",H8:H8)</f>
        <v>0</v>
      </c>
      <c r="I10" s="77"/>
      <c r="J10" s="77">
        <f>SUMIF($B8:$B8,"kötelező",J8:J8)</f>
        <v>0</v>
      </c>
      <c r="K10" s="77">
        <f>SUMIF($B8:$B8,"kötelező",K8:K8)</f>
        <v>2224452</v>
      </c>
      <c r="L10" s="77">
        <f>L9</f>
        <v>6015605</v>
      </c>
      <c r="M10" s="77">
        <f t="shared" ref="M10:U10" si="4">SUMIF($B8:$B8,"kötelező",M8:M8)</f>
        <v>0</v>
      </c>
      <c r="N10" s="77">
        <f t="shared" si="4"/>
        <v>0</v>
      </c>
      <c r="O10" s="77">
        <f t="shared" si="4"/>
        <v>0</v>
      </c>
      <c r="P10" s="77">
        <f t="shared" si="4"/>
        <v>0</v>
      </c>
      <c r="Q10" s="77">
        <f t="shared" si="4"/>
        <v>0</v>
      </c>
      <c r="R10" s="77">
        <f t="shared" si="4"/>
        <v>0</v>
      </c>
      <c r="S10" s="77">
        <f t="shared" si="4"/>
        <v>0</v>
      </c>
      <c r="T10" s="77">
        <f t="shared" si="4"/>
        <v>0</v>
      </c>
      <c r="U10" s="77">
        <f t="shared" si="4"/>
        <v>0</v>
      </c>
      <c r="V10" s="77">
        <v>107230437</v>
      </c>
      <c r="W10" s="77">
        <v>107230437</v>
      </c>
      <c r="X10" s="77">
        <f>X9-X11</f>
        <v>53481331.921999998</v>
      </c>
      <c r="Y10" s="77">
        <v>179306</v>
      </c>
      <c r="Z10" s="77">
        <v>197866</v>
      </c>
      <c r="AA10" s="77">
        <v>197866</v>
      </c>
      <c r="AB10" s="77">
        <f>D10+G10+J10+M10+P10+S10+V10+Y10</f>
        <v>107409743</v>
      </c>
      <c r="AC10" s="77">
        <f>E10+H10+K10+N10+Q10+T10+W10+Z10</f>
        <v>109652755</v>
      </c>
      <c r="AD10" s="126">
        <f>F10+I10+L10+X10+AA10</f>
        <v>59694802.921999998</v>
      </c>
    </row>
    <row r="11" spans="1:30" x14ac:dyDescent="0.25">
      <c r="A11" s="93" t="s">
        <v>24</v>
      </c>
      <c r="B11" s="47"/>
      <c r="C11" s="47" t="s">
        <v>115</v>
      </c>
      <c r="D11" s="77">
        <f>D6</f>
        <v>257750</v>
      </c>
      <c r="E11" s="77">
        <f t="shared" ref="E11:AC11" si="5">E6</f>
        <v>257750</v>
      </c>
      <c r="F11" s="77">
        <f t="shared" si="5"/>
        <v>129136</v>
      </c>
      <c r="G11" s="77">
        <f t="shared" si="5"/>
        <v>0</v>
      </c>
      <c r="H11" s="77">
        <f t="shared" si="5"/>
        <v>0</v>
      </c>
      <c r="I11" s="77">
        <f t="shared" si="5"/>
        <v>0</v>
      </c>
      <c r="J11" s="77">
        <f t="shared" si="5"/>
        <v>0</v>
      </c>
      <c r="K11" s="77">
        <f t="shared" si="5"/>
        <v>0</v>
      </c>
      <c r="L11" s="77">
        <f t="shared" si="5"/>
        <v>0</v>
      </c>
      <c r="M11" s="77">
        <f t="shared" si="5"/>
        <v>0</v>
      </c>
      <c r="N11" s="77">
        <f t="shared" si="5"/>
        <v>0</v>
      </c>
      <c r="O11" s="77">
        <f t="shared" si="5"/>
        <v>0</v>
      </c>
      <c r="P11" s="77">
        <f t="shared" si="5"/>
        <v>0</v>
      </c>
      <c r="Q11" s="77">
        <f t="shared" si="5"/>
        <v>0</v>
      </c>
      <c r="R11" s="77">
        <f t="shared" si="5"/>
        <v>0</v>
      </c>
      <c r="S11" s="77">
        <f t="shared" si="5"/>
        <v>0</v>
      </c>
      <c r="T11" s="77">
        <f t="shared" si="5"/>
        <v>0</v>
      </c>
      <c r="U11" s="77">
        <f t="shared" si="5"/>
        <v>0</v>
      </c>
      <c r="V11" s="77">
        <v>13956185</v>
      </c>
      <c r="W11" s="77">
        <v>13956185</v>
      </c>
      <c r="X11" s="77">
        <f>W11*0.4988</f>
        <v>6961345.0780000007</v>
      </c>
      <c r="Y11" s="77"/>
      <c r="Z11" s="77"/>
      <c r="AA11" s="77"/>
      <c r="AB11" s="77">
        <f>D11+G11+J11+M11+P11+S11+V11+Y11</f>
        <v>14213935</v>
      </c>
      <c r="AC11" s="77">
        <f t="shared" si="5"/>
        <v>121642238</v>
      </c>
      <c r="AD11" s="126">
        <f>F11+I11+L11+O11+R11+U11+X11</f>
        <v>7090481.0780000007</v>
      </c>
    </row>
    <row r="13" spans="1:30" x14ac:dyDescent="0.25">
      <c r="V13" s="66"/>
      <c r="W13" s="66"/>
      <c r="AB13" s="66"/>
      <c r="AD13" s="66"/>
    </row>
  </sheetData>
  <mergeCells count="20">
    <mergeCell ref="M3:N3"/>
    <mergeCell ref="P3:Q3"/>
    <mergeCell ref="Y4:Z4"/>
    <mergeCell ref="D4:E4"/>
    <mergeCell ref="G4:H4"/>
    <mergeCell ref="S3:T3"/>
    <mergeCell ref="V3:W3"/>
    <mergeCell ref="Y3:Z3"/>
    <mergeCell ref="A1:AB1"/>
    <mergeCell ref="AB3:AC3"/>
    <mergeCell ref="J4:K4"/>
    <mergeCell ref="M4:N4"/>
    <mergeCell ref="P4:Q4"/>
    <mergeCell ref="S4:T4"/>
    <mergeCell ref="V4:W4"/>
    <mergeCell ref="AB4:AC4"/>
    <mergeCell ref="C2:AC2"/>
    <mergeCell ref="D3:E3"/>
    <mergeCell ref="G3:H3"/>
    <mergeCell ref="J3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E24"/>
  <sheetViews>
    <sheetView zoomScaleNormal="100" zoomScaleSheetLayoutView="100" workbookViewId="0">
      <pane xSplit="3" ySplit="7" topLeftCell="L8" activePane="bottomRight" state="frozen"/>
      <selection pane="topRight" activeCell="D1" sqref="D1"/>
      <selection pane="bottomLeft" activeCell="A5" sqref="A5"/>
      <selection pane="bottomRight" activeCell="C3" sqref="C3:AC3"/>
    </sheetView>
  </sheetViews>
  <sheetFormatPr defaultColWidth="9.28515625" defaultRowHeight="15" x14ac:dyDescent="0.25"/>
  <cols>
    <col min="1" max="1" width="5.28515625" style="48" customWidth="1"/>
    <col min="2" max="2" width="10" style="48" customWidth="1"/>
    <col min="3" max="3" width="36" style="48" customWidth="1"/>
    <col min="4" max="5" width="11.7109375" style="48" bestFit="1" customWidth="1"/>
    <col min="6" max="6" width="11.7109375" style="362" customWidth="1"/>
    <col min="7" max="7" width="7.42578125" style="48" customWidth="1"/>
    <col min="8" max="8" width="6.85546875" style="48" customWidth="1"/>
    <col min="9" max="9" width="6.85546875" style="362" customWidth="1"/>
    <col min="10" max="10" width="7.85546875" style="48" customWidth="1"/>
    <col min="11" max="11" width="10.7109375" style="48" customWidth="1"/>
    <col min="12" max="12" width="11.5703125" style="362" customWidth="1"/>
    <col min="13" max="13" width="10.7109375" style="48" bestFit="1" customWidth="1"/>
    <col min="14" max="14" width="8.28515625" style="48" bestFit="1" customWidth="1"/>
    <col min="15" max="15" width="8.28515625" style="362" customWidth="1"/>
    <col min="16" max="16" width="10.7109375" style="48" bestFit="1" customWidth="1"/>
    <col min="17" max="17" width="10.85546875" style="48" customWidth="1"/>
    <col min="18" max="18" width="11.7109375" style="366" customWidth="1"/>
    <col min="19" max="19" width="10.5703125" style="48" bestFit="1" customWidth="1"/>
    <col min="20" max="20" width="8.28515625" style="48" bestFit="1" customWidth="1"/>
    <col min="21" max="21" width="8.28515625" style="366" customWidth="1"/>
    <col min="22" max="23" width="12.42578125" style="48" bestFit="1" customWidth="1"/>
    <col min="24" max="24" width="12.42578125" style="366" customWidth="1"/>
    <col min="25" max="25" width="10.5703125" style="48" bestFit="1" customWidth="1"/>
    <col min="26" max="26" width="10.5703125" style="48" customWidth="1"/>
    <col min="27" max="27" width="11.5703125" style="366" customWidth="1"/>
    <col min="28" max="28" width="13.42578125" style="48" customWidth="1"/>
    <col min="29" max="29" width="12.42578125" style="48" bestFit="1" customWidth="1"/>
    <col min="30" max="30" width="11.7109375" style="48" customWidth="1"/>
    <col min="31" max="31" width="9.85546875" style="48" bestFit="1" customWidth="1"/>
    <col min="32" max="16384" width="9.28515625" style="48"/>
  </cols>
  <sheetData>
    <row r="1" spans="1:31" s="305" customFormat="1" x14ac:dyDescent="0.25">
      <c r="A1" s="326"/>
    </row>
    <row r="2" spans="1:31" x14ac:dyDescent="0.25">
      <c r="A2" s="304"/>
      <c r="J2" s="348"/>
      <c r="S2" s="306" t="s">
        <v>420</v>
      </c>
      <c r="T2" s="42"/>
      <c r="U2" s="306"/>
      <c r="V2" s="42"/>
      <c r="W2" s="42"/>
      <c r="X2" s="306"/>
      <c r="Y2" s="42"/>
      <c r="Z2" s="42"/>
      <c r="AA2" s="306"/>
    </row>
    <row r="3" spans="1:31" ht="18.75" x14ac:dyDescent="0.25">
      <c r="A3" s="92"/>
      <c r="B3" s="92"/>
      <c r="C3" s="521" t="s">
        <v>386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"/>
    </row>
    <row r="4" spans="1:31" s="348" customFormat="1" ht="18.75" x14ac:dyDescent="0.25">
      <c r="A4" s="92"/>
      <c r="B4" s="92"/>
      <c r="C4" s="347"/>
      <c r="D4" s="347"/>
      <c r="E4" s="347"/>
      <c r="F4" s="361"/>
      <c r="G4" s="347"/>
      <c r="H4" s="347"/>
      <c r="I4" s="361"/>
      <c r="J4" s="347"/>
      <c r="K4" s="347"/>
      <c r="L4" s="361"/>
      <c r="M4" s="347"/>
      <c r="N4" s="347"/>
      <c r="O4" s="361"/>
      <c r="P4" s="347"/>
      <c r="Q4" s="347"/>
      <c r="R4" s="365"/>
      <c r="S4" s="347"/>
      <c r="T4" s="347"/>
      <c r="U4" s="365"/>
      <c r="V4" s="347"/>
      <c r="W4" s="347"/>
      <c r="X4" s="365"/>
      <c r="Y4" s="347"/>
      <c r="Z4" s="347"/>
      <c r="AA4" s="365"/>
      <c r="AB4" s="358" t="s">
        <v>387</v>
      </c>
      <c r="AC4" s="347"/>
      <c r="AD4" s="52"/>
    </row>
    <row r="5" spans="1:31" x14ac:dyDescent="0.25">
      <c r="A5" s="53" t="s">
        <v>53</v>
      </c>
      <c r="B5" s="53" t="s">
        <v>61</v>
      </c>
      <c r="C5" s="413" t="s">
        <v>54</v>
      </c>
      <c r="D5" s="523" t="s">
        <v>55</v>
      </c>
      <c r="E5" s="524"/>
      <c r="F5" s="414"/>
      <c r="G5" s="525" t="s">
        <v>56</v>
      </c>
      <c r="H5" s="526"/>
      <c r="I5" s="415"/>
      <c r="J5" s="525" t="s">
        <v>63</v>
      </c>
      <c r="K5" s="526"/>
      <c r="L5" s="415"/>
      <c r="M5" s="525" t="s">
        <v>65</v>
      </c>
      <c r="N5" s="526"/>
      <c r="O5" s="415"/>
      <c r="P5" s="525" t="s">
        <v>66</v>
      </c>
      <c r="Q5" s="526"/>
      <c r="R5" s="415"/>
      <c r="S5" s="523" t="s">
        <v>67</v>
      </c>
      <c r="T5" s="524"/>
      <c r="U5" s="414"/>
      <c r="V5" s="525" t="s">
        <v>68</v>
      </c>
      <c r="W5" s="526"/>
      <c r="X5" s="415"/>
      <c r="Y5" s="523" t="s">
        <v>99</v>
      </c>
      <c r="Z5" s="524"/>
      <c r="AA5" s="414"/>
      <c r="AB5" s="523" t="s">
        <v>93</v>
      </c>
      <c r="AC5" s="524"/>
      <c r="AD5" s="416"/>
    </row>
    <row r="6" spans="1:31" ht="57" customHeight="1" x14ac:dyDescent="0.25">
      <c r="A6" s="95"/>
      <c r="B6" s="96" t="s">
        <v>96</v>
      </c>
      <c r="C6" s="412" t="s">
        <v>70</v>
      </c>
      <c r="D6" s="519" t="s">
        <v>59</v>
      </c>
      <c r="E6" s="520"/>
      <c r="F6" s="388"/>
      <c r="G6" s="519" t="s">
        <v>58</v>
      </c>
      <c r="H6" s="520"/>
      <c r="I6" s="388"/>
      <c r="J6" s="519" t="s">
        <v>72</v>
      </c>
      <c r="K6" s="520"/>
      <c r="L6" s="388"/>
      <c r="M6" s="519" t="s">
        <v>73</v>
      </c>
      <c r="N6" s="520"/>
      <c r="O6" s="388"/>
      <c r="P6" s="519" t="s">
        <v>74</v>
      </c>
      <c r="Q6" s="520"/>
      <c r="R6" s="388"/>
      <c r="S6" s="519" t="s">
        <v>88</v>
      </c>
      <c r="T6" s="520"/>
      <c r="U6" s="388"/>
      <c r="V6" s="519" t="s">
        <v>89</v>
      </c>
      <c r="W6" s="520"/>
      <c r="X6" s="367"/>
      <c r="Y6" s="522" t="s">
        <v>117</v>
      </c>
      <c r="Z6" s="522"/>
      <c r="AA6" s="364"/>
      <c r="AB6" s="519" t="s">
        <v>76</v>
      </c>
      <c r="AC6" s="520"/>
      <c r="AD6" s="416"/>
    </row>
    <row r="7" spans="1:31" ht="63.75" customHeight="1" x14ac:dyDescent="0.25">
      <c r="A7" s="95"/>
      <c r="B7" s="50"/>
      <c r="C7" s="45" t="s">
        <v>316</v>
      </c>
      <c r="D7" s="387" t="s">
        <v>344</v>
      </c>
      <c r="E7" s="374" t="s">
        <v>345</v>
      </c>
      <c r="F7" s="374" t="s">
        <v>410</v>
      </c>
      <c r="G7" s="387" t="s">
        <v>344</v>
      </c>
      <c r="H7" s="374" t="s">
        <v>345</v>
      </c>
      <c r="I7" s="374" t="s">
        <v>410</v>
      </c>
      <c r="J7" s="387" t="s">
        <v>344</v>
      </c>
      <c r="K7" s="374" t="s">
        <v>345</v>
      </c>
      <c r="L7" s="374" t="s">
        <v>410</v>
      </c>
      <c r="M7" s="387" t="s">
        <v>344</v>
      </c>
      <c r="N7" s="374" t="s">
        <v>345</v>
      </c>
      <c r="O7" s="374" t="s">
        <v>410</v>
      </c>
      <c r="P7" s="387" t="s">
        <v>344</v>
      </c>
      <c r="Q7" s="374" t="s">
        <v>345</v>
      </c>
      <c r="R7" s="374" t="s">
        <v>410</v>
      </c>
      <c r="S7" s="387" t="s">
        <v>344</v>
      </c>
      <c r="T7" s="374" t="s">
        <v>345</v>
      </c>
      <c r="U7" s="374" t="s">
        <v>410</v>
      </c>
      <c r="V7" s="387" t="s">
        <v>344</v>
      </c>
      <c r="W7" s="374" t="s">
        <v>345</v>
      </c>
      <c r="X7" s="374" t="s">
        <v>410</v>
      </c>
      <c r="Y7" s="332" t="s">
        <v>344</v>
      </c>
      <c r="Z7" s="14" t="s">
        <v>345</v>
      </c>
      <c r="AA7" s="374" t="s">
        <v>410</v>
      </c>
      <c r="AB7" s="387" t="s">
        <v>344</v>
      </c>
      <c r="AC7" s="374" t="s">
        <v>345</v>
      </c>
      <c r="AD7" s="374" t="s">
        <v>410</v>
      </c>
    </row>
    <row r="8" spans="1:31" x14ac:dyDescent="0.25">
      <c r="A8" s="95">
        <v>1</v>
      </c>
      <c r="B8" s="312" t="s">
        <v>77</v>
      </c>
      <c r="C8" s="111" t="s">
        <v>186</v>
      </c>
      <c r="D8" s="424"/>
      <c r="E8" s="425"/>
      <c r="F8" s="425"/>
      <c r="G8" s="424"/>
      <c r="H8" s="425"/>
      <c r="I8" s="425"/>
      <c r="J8" s="424"/>
      <c r="K8" s="425"/>
      <c r="L8" s="425"/>
      <c r="M8" s="424"/>
      <c r="N8" s="425"/>
      <c r="O8" s="425"/>
      <c r="P8" s="424"/>
      <c r="Q8" s="425"/>
      <c r="R8" s="425"/>
      <c r="S8" s="424"/>
      <c r="T8" s="425"/>
      <c r="U8" s="425"/>
      <c r="V8" s="424">
        <v>23761378</v>
      </c>
      <c r="W8" s="425">
        <f>956054+V8</f>
        <v>24717432</v>
      </c>
      <c r="X8" s="425">
        <f>W8*0.4949</f>
        <v>12232657.096799999</v>
      </c>
      <c r="Y8" s="426"/>
      <c r="Z8" s="425"/>
      <c r="AA8" s="425"/>
      <c r="AB8" s="424">
        <f>D8+G8+J8+M8+P8+S8+V8+Y8</f>
        <v>23761378</v>
      </c>
      <c r="AC8" s="425">
        <f>E8+H8+K8+N8+Q8+T8+W8+Z8</f>
        <v>24717432</v>
      </c>
      <c r="AD8" s="427">
        <f>F8+I8+L8+O8+R8+U8+X8+AA8</f>
        <v>12232657.096799999</v>
      </c>
    </row>
    <row r="9" spans="1:31" s="333" customFormat="1" ht="26.25" x14ac:dyDescent="0.25">
      <c r="A9" s="95">
        <v>1</v>
      </c>
      <c r="B9" s="312" t="s">
        <v>78</v>
      </c>
      <c r="C9" s="111" t="s">
        <v>186</v>
      </c>
      <c r="D9" s="424"/>
      <c r="E9" s="425"/>
      <c r="F9" s="425"/>
      <c r="G9" s="424"/>
      <c r="H9" s="425"/>
      <c r="I9" s="425"/>
      <c r="J9" s="424"/>
      <c r="K9" s="425"/>
      <c r="L9" s="425"/>
      <c r="M9" s="424"/>
      <c r="N9" s="425"/>
      <c r="O9" s="425"/>
      <c r="P9" s="424"/>
      <c r="Q9" s="425"/>
      <c r="R9" s="425"/>
      <c r="S9" s="424"/>
      <c r="T9" s="425"/>
      <c r="U9" s="425"/>
      <c r="V9" s="424">
        <v>158452026</v>
      </c>
      <c r="W9" s="425">
        <f>10514546+V9</f>
        <v>168966572</v>
      </c>
      <c r="X9" s="425">
        <v>83616546</v>
      </c>
      <c r="Y9" s="424">
        <v>1855656</v>
      </c>
      <c r="Z9" s="425">
        <f>174384+Y9</f>
        <v>2030040</v>
      </c>
      <c r="AA9" s="425">
        <v>2030040</v>
      </c>
      <c r="AB9" s="424">
        <f t="shared" ref="AB9:AB16" si="0">D9+G9+J9+M9+P9+S9+V9+Y9</f>
        <v>160307682</v>
      </c>
      <c r="AC9" s="425">
        <f t="shared" ref="AC9:AC16" si="1">E9+H9+K9+N9+Q9+T9+W9+Z9</f>
        <v>170996612</v>
      </c>
      <c r="AD9" s="427">
        <f t="shared" ref="AD9:AD18" si="2">F9+I9+L9+O9+R9+U9+X9+AA9</f>
        <v>85646586</v>
      </c>
      <c r="AE9" s="49"/>
    </row>
    <row r="10" spans="1:31" x14ac:dyDescent="0.25">
      <c r="A10" s="95">
        <v>1</v>
      </c>
      <c r="B10" s="313" t="s">
        <v>78</v>
      </c>
      <c r="C10" s="46" t="s">
        <v>339</v>
      </c>
      <c r="D10" s="79">
        <v>35989626</v>
      </c>
      <c r="E10" s="79">
        <f t="shared" ref="E10:E15" si="3">D10</f>
        <v>35989626</v>
      </c>
      <c r="F10" s="79">
        <v>15200311</v>
      </c>
      <c r="G10" s="79"/>
      <c r="H10" s="79"/>
      <c r="I10" s="79"/>
      <c r="J10" s="74"/>
      <c r="K10" s="74"/>
      <c r="L10" s="74"/>
      <c r="M10" s="74"/>
      <c r="N10" s="74"/>
      <c r="O10" s="74"/>
      <c r="P10" s="74">
        <v>1750000</v>
      </c>
      <c r="Q10" s="74">
        <f>P10</f>
        <v>1750000</v>
      </c>
      <c r="R10" s="74">
        <v>1850000</v>
      </c>
      <c r="S10" s="74"/>
      <c r="T10" s="74"/>
      <c r="U10" s="74"/>
      <c r="V10" s="75"/>
      <c r="W10" s="75"/>
      <c r="X10" s="75"/>
      <c r="Y10" s="75"/>
      <c r="Z10" s="75"/>
      <c r="AA10" s="75"/>
      <c r="AB10" s="424">
        <f t="shared" si="0"/>
        <v>37739626</v>
      </c>
      <c r="AC10" s="425">
        <f t="shared" si="1"/>
        <v>37739626</v>
      </c>
      <c r="AD10" s="427">
        <f t="shared" si="2"/>
        <v>17050311</v>
      </c>
    </row>
    <row r="11" spans="1:31" ht="25.5" x14ac:dyDescent="0.25">
      <c r="A11" s="95">
        <v>1</v>
      </c>
      <c r="B11" s="313" t="s">
        <v>78</v>
      </c>
      <c r="C11" s="335" t="s">
        <v>340</v>
      </c>
      <c r="D11" s="79">
        <v>39306128</v>
      </c>
      <c r="E11" s="79">
        <f t="shared" si="3"/>
        <v>39306128</v>
      </c>
      <c r="F11" s="79">
        <v>17593890</v>
      </c>
      <c r="G11" s="79"/>
      <c r="H11" s="79"/>
      <c r="I11" s="79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5"/>
      <c r="W11" s="75"/>
      <c r="X11" s="75"/>
      <c r="Y11" s="75"/>
      <c r="Z11" s="75"/>
      <c r="AA11" s="75"/>
      <c r="AB11" s="424">
        <f t="shared" si="0"/>
        <v>39306128</v>
      </c>
      <c r="AC11" s="425">
        <f t="shared" si="1"/>
        <v>39306128</v>
      </c>
      <c r="AD11" s="427">
        <f t="shared" si="2"/>
        <v>17593890</v>
      </c>
    </row>
    <row r="12" spans="1:31" x14ac:dyDescent="0.25">
      <c r="A12" s="95">
        <v>1</v>
      </c>
      <c r="B12" s="313" t="s">
        <v>77</v>
      </c>
      <c r="C12" s="46" t="s">
        <v>231</v>
      </c>
      <c r="D12" s="78">
        <v>2000</v>
      </c>
      <c r="E12" s="78">
        <f t="shared" si="3"/>
        <v>2000</v>
      </c>
      <c r="F12" s="78">
        <v>7120</v>
      </c>
      <c r="G12" s="78"/>
      <c r="H12" s="78"/>
      <c r="I12" s="78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75"/>
      <c r="X12" s="75"/>
      <c r="Y12" s="75"/>
      <c r="Z12" s="75"/>
      <c r="AA12" s="75"/>
      <c r="AB12" s="424">
        <f t="shared" si="0"/>
        <v>2000</v>
      </c>
      <c r="AC12" s="425">
        <f t="shared" si="1"/>
        <v>2000</v>
      </c>
      <c r="AD12" s="427">
        <f t="shared" si="2"/>
        <v>7120</v>
      </c>
    </row>
    <row r="13" spans="1:31" x14ac:dyDescent="0.25">
      <c r="A13" s="95">
        <v>1</v>
      </c>
      <c r="B13" s="313" t="s">
        <v>77</v>
      </c>
      <c r="C13" s="46" t="s">
        <v>341</v>
      </c>
      <c r="D13" s="78">
        <v>1840</v>
      </c>
      <c r="E13" s="78">
        <f t="shared" si="3"/>
        <v>1840</v>
      </c>
      <c r="F13" s="78">
        <v>240</v>
      </c>
      <c r="G13" s="78"/>
      <c r="H13" s="78"/>
      <c r="I13" s="78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75"/>
      <c r="X13" s="75"/>
      <c r="Y13" s="75"/>
      <c r="Z13" s="75"/>
      <c r="AA13" s="75"/>
      <c r="AB13" s="424">
        <f t="shared" si="0"/>
        <v>1840</v>
      </c>
      <c r="AC13" s="425">
        <f t="shared" si="1"/>
        <v>1840</v>
      </c>
      <c r="AD13" s="427">
        <f t="shared" si="2"/>
        <v>240</v>
      </c>
    </row>
    <row r="14" spans="1:31" x14ac:dyDescent="0.25">
      <c r="A14" s="95">
        <v>1</v>
      </c>
      <c r="B14" s="313" t="s">
        <v>77</v>
      </c>
      <c r="C14" s="46" t="s">
        <v>342</v>
      </c>
      <c r="D14" s="79">
        <v>6335045</v>
      </c>
      <c r="E14" s="79">
        <f t="shared" si="3"/>
        <v>6335045</v>
      </c>
      <c r="F14" s="79">
        <v>4314930</v>
      </c>
      <c r="G14" s="78"/>
      <c r="H14" s="78"/>
      <c r="I14" s="78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75"/>
      <c r="X14" s="75"/>
      <c r="Y14" s="75"/>
      <c r="Z14" s="75"/>
      <c r="AA14" s="75"/>
      <c r="AB14" s="424">
        <f t="shared" si="0"/>
        <v>6335045</v>
      </c>
      <c r="AC14" s="425">
        <f t="shared" si="1"/>
        <v>6335045</v>
      </c>
      <c r="AD14" s="427">
        <f t="shared" si="2"/>
        <v>4314930</v>
      </c>
    </row>
    <row r="15" spans="1:31" x14ac:dyDescent="0.25">
      <c r="A15" s="95">
        <v>1</v>
      </c>
      <c r="B15" s="313" t="s">
        <v>77</v>
      </c>
      <c r="C15" s="46" t="s">
        <v>97</v>
      </c>
      <c r="D15" s="78">
        <v>62675</v>
      </c>
      <c r="E15" s="78">
        <f t="shared" si="3"/>
        <v>62675</v>
      </c>
      <c r="F15" s="78">
        <v>22515</v>
      </c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  <c r="W15" s="75"/>
      <c r="X15" s="75"/>
      <c r="Y15" s="75"/>
      <c r="Z15" s="75"/>
      <c r="AA15" s="75"/>
      <c r="AB15" s="424">
        <f t="shared" si="0"/>
        <v>62675</v>
      </c>
      <c r="AC15" s="425">
        <f t="shared" si="1"/>
        <v>62675</v>
      </c>
      <c r="AD15" s="427">
        <f t="shared" si="2"/>
        <v>22515</v>
      </c>
    </row>
    <row r="16" spans="1:31" x14ac:dyDescent="0.25">
      <c r="A16" s="95">
        <v>1</v>
      </c>
      <c r="B16" s="313" t="s">
        <v>78</v>
      </c>
      <c r="C16" s="46" t="s">
        <v>399</v>
      </c>
      <c r="D16" s="78"/>
      <c r="E16" s="78"/>
      <c r="F16" s="78">
        <v>1584</v>
      </c>
      <c r="G16" s="78"/>
      <c r="H16" s="78"/>
      <c r="I16" s="78"/>
      <c r="J16" s="74"/>
      <c r="K16" s="74">
        <v>532500</v>
      </c>
      <c r="L16" s="74">
        <v>257736</v>
      </c>
      <c r="M16" s="74"/>
      <c r="N16" s="74"/>
      <c r="O16" s="74"/>
      <c r="P16" s="74"/>
      <c r="Q16" s="74"/>
      <c r="R16" s="74"/>
      <c r="S16" s="74"/>
      <c r="T16" s="74"/>
      <c r="U16" s="74"/>
      <c r="V16" s="75"/>
      <c r="W16" s="75"/>
      <c r="X16" s="75"/>
      <c r="Y16" s="75"/>
      <c r="Z16" s="75"/>
      <c r="AA16" s="75"/>
      <c r="AB16" s="424">
        <f t="shared" si="0"/>
        <v>0</v>
      </c>
      <c r="AC16" s="425">
        <f t="shared" si="1"/>
        <v>532500</v>
      </c>
      <c r="AD16" s="427">
        <f t="shared" si="2"/>
        <v>259320</v>
      </c>
    </row>
    <row r="17" spans="1:30" ht="15.75" x14ac:dyDescent="0.25">
      <c r="A17" s="95">
        <v>1</v>
      </c>
      <c r="B17" s="43"/>
      <c r="C17" s="45" t="s">
        <v>91</v>
      </c>
      <c r="D17" s="126">
        <f>SUM(D8:D16)</f>
        <v>81697314</v>
      </c>
      <c r="E17" s="126">
        <f t="shared" ref="E17:AD17" si="4">SUM(E8:E16)</f>
        <v>81697314</v>
      </c>
      <c r="F17" s="126">
        <f t="shared" si="4"/>
        <v>37140590</v>
      </c>
      <c r="G17" s="126">
        <f t="shared" si="4"/>
        <v>0</v>
      </c>
      <c r="H17" s="126">
        <f t="shared" si="4"/>
        <v>0</v>
      </c>
      <c r="I17" s="126"/>
      <c r="J17" s="126">
        <f t="shared" si="4"/>
        <v>0</v>
      </c>
      <c r="K17" s="126">
        <f t="shared" si="4"/>
        <v>532500</v>
      </c>
      <c r="L17" s="126">
        <f t="shared" si="4"/>
        <v>257736</v>
      </c>
      <c r="M17" s="126">
        <f t="shared" si="4"/>
        <v>0</v>
      </c>
      <c r="N17" s="126">
        <f t="shared" si="4"/>
        <v>0</v>
      </c>
      <c r="O17" s="126">
        <f t="shared" si="4"/>
        <v>0</v>
      </c>
      <c r="P17" s="126">
        <f t="shared" si="4"/>
        <v>1750000</v>
      </c>
      <c r="Q17" s="126">
        <f t="shared" si="4"/>
        <v>1750000</v>
      </c>
      <c r="R17" s="126">
        <f t="shared" si="4"/>
        <v>1850000</v>
      </c>
      <c r="S17" s="126">
        <f t="shared" si="4"/>
        <v>0</v>
      </c>
      <c r="T17" s="126">
        <f t="shared" si="4"/>
        <v>0</v>
      </c>
      <c r="U17" s="126">
        <f t="shared" si="4"/>
        <v>0</v>
      </c>
      <c r="V17" s="126">
        <f t="shared" si="4"/>
        <v>182213404</v>
      </c>
      <c r="W17" s="126">
        <f t="shared" si="4"/>
        <v>193684004</v>
      </c>
      <c r="X17" s="126">
        <f t="shared" si="4"/>
        <v>95849203.096799999</v>
      </c>
      <c r="Y17" s="126">
        <f t="shared" si="4"/>
        <v>1855656</v>
      </c>
      <c r="Z17" s="126">
        <f t="shared" si="4"/>
        <v>2030040</v>
      </c>
      <c r="AA17" s="126">
        <f t="shared" si="4"/>
        <v>2030040</v>
      </c>
      <c r="AB17" s="126">
        <f t="shared" si="4"/>
        <v>267516374</v>
      </c>
      <c r="AC17" s="126">
        <f t="shared" si="4"/>
        <v>279693858</v>
      </c>
      <c r="AD17" s="126">
        <f t="shared" si="4"/>
        <v>137127569.0968</v>
      </c>
    </row>
    <row r="18" spans="1:30" x14ac:dyDescent="0.25">
      <c r="A18" s="95">
        <v>1</v>
      </c>
      <c r="B18" s="51"/>
      <c r="C18" s="4" t="s">
        <v>82</v>
      </c>
      <c r="D18" s="127">
        <f ca="1">SUMIF($B8:$B16,"kötelező",D8:D15)</f>
        <v>6401560</v>
      </c>
      <c r="E18" s="127">
        <f t="shared" ref="E18:AC18" ca="1" si="5">SUMIF($B8:$B16,"kötelező",E8:E15)</f>
        <v>6401560</v>
      </c>
      <c r="F18" s="127">
        <f t="shared" ca="1" si="5"/>
        <v>4344805</v>
      </c>
      <c r="G18" s="127">
        <f t="shared" ca="1" si="5"/>
        <v>0</v>
      </c>
      <c r="H18" s="127">
        <f t="shared" ca="1" si="5"/>
        <v>0</v>
      </c>
      <c r="I18" s="127">
        <f t="shared" ca="1" si="5"/>
        <v>0</v>
      </c>
      <c r="J18" s="127">
        <f t="shared" ca="1" si="5"/>
        <v>0</v>
      </c>
      <c r="K18" s="127">
        <f t="shared" ca="1" si="5"/>
        <v>0</v>
      </c>
      <c r="L18" s="127">
        <f t="shared" ca="1" si="5"/>
        <v>0</v>
      </c>
      <c r="M18" s="127">
        <f t="shared" ca="1" si="5"/>
        <v>0</v>
      </c>
      <c r="N18" s="127">
        <f t="shared" ca="1" si="5"/>
        <v>0</v>
      </c>
      <c r="O18" s="127">
        <f t="shared" ca="1" si="5"/>
        <v>0</v>
      </c>
      <c r="P18" s="127">
        <f t="shared" ca="1" si="5"/>
        <v>0</v>
      </c>
      <c r="Q18" s="127">
        <f t="shared" ca="1" si="5"/>
        <v>0</v>
      </c>
      <c r="R18" s="127">
        <f t="shared" ca="1" si="5"/>
        <v>0</v>
      </c>
      <c r="S18" s="127">
        <f t="shared" ca="1" si="5"/>
        <v>0</v>
      </c>
      <c r="T18" s="127">
        <f t="shared" ca="1" si="5"/>
        <v>0</v>
      </c>
      <c r="U18" s="127">
        <f t="shared" ca="1" si="5"/>
        <v>0</v>
      </c>
      <c r="V18" s="127">
        <f t="shared" ca="1" si="5"/>
        <v>23761378</v>
      </c>
      <c r="W18" s="127">
        <f t="shared" ca="1" si="5"/>
        <v>24717432</v>
      </c>
      <c r="X18" s="127">
        <f t="shared" ca="1" si="5"/>
        <v>12232657.096799999</v>
      </c>
      <c r="Y18" s="127">
        <f t="shared" ca="1" si="5"/>
        <v>0</v>
      </c>
      <c r="Z18" s="127">
        <f t="shared" ca="1" si="5"/>
        <v>0</v>
      </c>
      <c r="AA18" s="127">
        <f t="shared" ca="1" si="5"/>
        <v>0</v>
      </c>
      <c r="AB18" s="127">
        <f t="shared" ca="1" si="5"/>
        <v>30162938</v>
      </c>
      <c r="AC18" s="127">
        <f t="shared" ca="1" si="5"/>
        <v>31118992</v>
      </c>
      <c r="AD18" s="427">
        <f t="shared" ca="1" si="2"/>
        <v>16577462.096799999</v>
      </c>
    </row>
    <row r="19" spans="1:30" x14ac:dyDescent="0.25">
      <c r="A19" s="311">
        <v>10</v>
      </c>
      <c r="B19" s="51"/>
      <c r="C19" s="4" t="s">
        <v>83</v>
      </c>
      <c r="D19" s="127">
        <f>SUMIF($B8:$B16,"nem kötelező",D8:D16)</f>
        <v>75295754</v>
      </c>
      <c r="E19" s="127">
        <f t="shared" ref="E19:AD19" si="6">SUMIF($B8:$B16,"nem kötelező",E8:E16)</f>
        <v>75295754</v>
      </c>
      <c r="F19" s="127">
        <f t="shared" si="6"/>
        <v>32795785</v>
      </c>
      <c r="G19" s="127">
        <f t="shared" si="6"/>
        <v>0</v>
      </c>
      <c r="H19" s="127">
        <f t="shared" si="6"/>
        <v>0</v>
      </c>
      <c r="I19" s="127">
        <f t="shared" si="6"/>
        <v>0</v>
      </c>
      <c r="J19" s="127">
        <f t="shared" si="6"/>
        <v>0</v>
      </c>
      <c r="K19" s="127">
        <f t="shared" si="6"/>
        <v>532500</v>
      </c>
      <c r="L19" s="127">
        <f t="shared" si="6"/>
        <v>257736</v>
      </c>
      <c r="M19" s="127">
        <f t="shared" si="6"/>
        <v>0</v>
      </c>
      <c r="N19" s="127">
        <f t="shared" si="6"/>
        <v>0</v>
      </c>
      <c r="O19" s="127">
        <f t="shared" si="6"/>
        <v>0</v>
      </c>
      <c r="P19" s="127">
        <f t="shared" si="6"/>
        <v>1750000</v>
      </c>
      <c r="Q19" s="127">
        <f t="shared" si="6"/>
        <v>1750000</v>
      </c>
      <c r="R19" s="127">
        <f t="shared" si="6"/>
        <v>1850000</v>
      </c>
      <c r="S19" s="127">
        <f t="shared" si="6"/>
        <v>0</v>
      </c>
      <c r="T19" s="127">
        <f t="shared" si="6"/>
        <v>0</v>
      </c>
      <c r="U19" s="127">
        <f t="shared" si="6"/>
        <v>0</v>
      </c>
      <c r="V19" s="127">
        <f t="shared" si="6"/>
        <v>158452026</v>
      </c>
      <c r="W19" s="127">
        <f t="shared" si="6"/>
        <v>168966572</v>
      </c>
      <c r="X19" s="127">
        <f t="shared" si="6"/>
        <v>83616546</v>
      </c>
      <c r="Y19" s="127">
        <f t="shared" si="6"/>
        <v>1855656</v>
      </c>
      <c r="Z19" s="127">
        <f t="shared" si="6"/>
        <v>2030040</v>
      </c>
      <c r="AA19" s="127">
        <f t="shared" si="6"/>
        <v>2030040</v>
      </c>
      <c r="AB19" s="127">
        <f t="shared" si="6"/>
        <v>237353436</v>
      </c>
      <c r="AC19" s="127">
        <f t="shared" si="6"/>
        <v>248574866</v>
      </c>
      <c r="AD19" s="127">
        <f t="shared" si="6"/>
        <v>120550107</v>
      </c>
    </row>
    <row r="20" spans="1:30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spans="1:30" x14ac:dyDescent="0.25">
      <c r="D21" s="49"/>
      <c r="V21" s="49"/>
      <c r="X21" s="49"/>
      <c r="Z21" s="49"/>
      <c r="AA21" s="49"/>
      <c r="AB21" s="49"/>
      <c r="AC21" s="49"/>
    </row>
    <row r="22" spans="1:30" x14ac:dyDescent="0.25">
      <c r="D22" s="49"/>
      <c r="AC22" s="49"/>
    </row>
    <row r="23" spans="1:30" x14ac:dyDescent="0.25">
      <c r="AB23" s="49"/>
    </row>
    <row r="24" spans="1:30" x14ac:dyDescent="0.25">
      <c r="X24" s="49"/>
    </row>
  </sheetData>
  <mergeCells count="19">
    <mergeCell ref="V5:W5"/>
    <mergeCell ref="Y5:Z5"/>
    <mergeCell ref="AB5:AC5"/>
    <mergeCell ref="S6:T6"/>
    <mergeCell ref="V6:W6"/>
    <mergeCell ref="AB6:AC6"/>
    <mergeCell ref="C3:AC3"/>
    <mergeCell ref="Y6:Z6"/>
    <mergeCell ref="D6:E6"/>
    <mergeCell ref="G6:H6"/>
    <mergeCell ref="J6:K6"/>
    <mergeCell ref="M6:N6"/>
    <mergeCell ref="P6:Q6"/>
    <mergeCell ref="D5:E5"/>
    <mergeCell ref="G5:H5"/>
    <mergeCell ref="J5:K5"/>
    <mergeCell ref="M5:N5"/>
    <mergeCell ref="P5:Q5"/>
    <mergeCell ref="S5:T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D23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2" sqref="C2:AB2"/>
    </sheetView>
  </sheetViews>
  <sheetFormatPr defaultColWidth="9.28515625" defaultRowHeight="15" x14ac:dyDescent="0.25"/>
  <cols>
    <col min="1" max="1" width="5.28515625" style="48" customWidth="1"/>
    <col min="2" max="2" width="9.140625" style="48" customWidth="1"/>
    <col min="3" max="3" width="35.28515625" style="48" customWidth="1"/>
    <col min="4" max="4" width="10.5703125" style="48" bestFit="1" customWidth="1"/>
    <col min="5" max="5" width="8.42578125" style="48" bestFit="1" customWidth="1"/>
    <col min="6" max="6" width="8.42578125" style="366" customWidth="1"/>
    <col min="7" max="7" width="10.42578125" style="48" customWidth="1"/>
    <col min="8" max="8" width="7.85546875" style="48" bestFit="1" customWidth="1"/>
    <col min="9" max="9" width="7.85546875" style="366" customWidth="1"/>
    <col min="10" max="10" width="10.5703125" style="48" bestFit="1" customWidth="1"/>
    <col min="11" max="11" width="7.85546875" style="48" bestFit="1" customWidth="1"/>
    <col min="12" max="12" width="7.85546875" style="366" customWidth="1"/>
    <col min="13" max="13" width="10.5703125" style="48" bestFit="1" customWidth="1"/>
    <col min="14" max="14" width="7.85546875" style="48" bestFit="1" customWidth="1"/>
    <col min="15" max="15" width="7.85546875" style="366" customWidth="1"/>
    <col min="16" max="16" width="10.5703125" style="48" bestFit="1" customWidth="1"/>
    <col min="17" max="17" width="7.85546875" style="48" bestFit="1" customWidth="1"/>
    <col min="18" max="18" width="7.85546875" style="366" customWidth="1"/>
    <col min="19" max="19" width="9.5703125" style="48" bestFit="1" customWidth="1"/>
    <col min="20" max="20" width="7.85546875" style="48" bestFit="1" customWidth="1"/>
    <col min="21" max="21" width="7.85546875" style="366" customWidth="1"/>
    <col min="22" max="22" width="12.42578125" style="48" customWidth="1"/>
    <col min="23" max="23" width="14.28515625" style="48" customWidth="1"/>
    <col min="24" max="24" width="14.28515625" style="366" customWidth="1"/>
    <col min="25" max="25" width="10.5703125" style="48" bestFit="1" customWidth="1"/>
    <col min="26" max="26" width="10.140625" style="48" bestFit="1" customWidth="1"/>
    <col min="27" max="27" width="10.140625" style="366" customWidth="1"/>
    <col min="28" max="29" width="12.42578125" style="48" bestFit="1" customWidth="1"/>
    <col min="30" max="30" width="11.7109375" style="48" customWidth="1"/>
    <col min="31" max="16384" width="9.28515625" style="48"/>
  </cols>
  <sheetData>
    <row r="1" spans="1:30" x14ac:dyDescent="0.25">
      <c r="A1" s="527"/>
      <c r="B1" s="528"/>
      <c r="C1" s="529"/>
      <c r="D1" s="529"/>
      <c r="E1" s="529"/>
      <c r="F1" s="529"/>
      <c r="G1" s="529"/>
      <c r="H1" s="529"/>
      <c r="I1" s="529"/>
      <c r="J1" s="529"/>
      <c r="K1" s="529"/>
      <c r="L1" s="368"/>
      <c r="Q1" s="491" t="s">
        <v>421</v>
      </c>
      <c r="V1" s="348"/>
    </row>
    <row r="2" spans="1:30" ht="54.75" customHeight="1" x14ac:dyDescent="0.25">
      <c r="A2" s="92"/>
      <c r="B2" s="92"/>
      <c r="C2" s="518" t="s">
        <v>346</v>
      </c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"/>
    </row>
    <row r="3" spans="1:30" ht="54.75" customHeight="1" x14ac:dyDescent="0.3">
      <c r="A3" s="53" t="s">
        <v>53</v>
      </c>
      <c r="B3" s="53"/>
      <c r="C3" s="428" t="s">
        <v>61</v>
      </c>
      <c r="D3" s="530" t="s">
        <v>54</v>
      </c>
      <c r="E3" s="531"/>
      <c r="F3" s="429"/>
      <c r="G3" s="530" t="s">
        <v>55</v>
      </c>
      <c r="H3" s="531"/>
      <c r="I3" s="429"/>
      <c r="J3" s="530" t="s">
        <v>56</v>
      </c>
      <c r="K3" s="531"/>
      <c r="L3" s="429"/>
      <c r="M3" s="532" t="s">
        <v>63</v>
      </c>
      <c r="N3" s="533"/>
      <c r="O3" s="430"/>
      <c r="P3" s="530" t="s">
        <v>65</v>
      </c>
      <c r="Q3" s="531"/>
      <c r="R3" s="429"/>
      <c r="S3" s="530" t="s">
        <v>66</v>
      </c>
      <c r="T3" s="531"/>
      <c r="U3" s="429"/>
      <c r="V3" s="530" t="s">
        <v>67</v>
      </c>
      <c r="W3" s="531"/>
      <c r="X3" s="429"/>
      <c r="Y3" s="530" t="s">
        <v>68</v>
      </c>
      <c r="Z3" s="531"/>
      <c r="AA3" s="429"/>
      <c r="AB3" s="530" t="s">
        <v>68</v>
      </c>
      <c r="AC3" s="531"/>
      <c r="AD3" s="431"/>
    </row>
    <row r="4" spans="1:30" ht="84" customHeight="1" x14ac:dyDescent="0.25">
      <c r="A4" s="310">
        <v>1</v>
      </c>
      <c r="B4" s="96" t="s">
        <v>96</v>
      </c>
      <c r="C4" s="412" t="s">
        <v>70</v>
      </c>
      <c r="D4" s="519" t="s">
        <v>59</v>
      </c>
      <c r="E4" s="534"/>
      <c r="F4" s="388"/>
      <c r="G4" s="519" t="s">
        <v>58</v>
      </c>
      <c r="H4" s="520"/>
      <c r="I4" s="388"/>
      <c r="J4" s="519" t="s">
        <v>72</v>
      </c>
      <c r="K4" s="520"/>
      <c r="L4" s="388"/>
      <c r="M4" s="519" t="s">
        <v>73</v>
      </c>
      <c r="N4" s="520"/>
      <c r="O4" s="388"/>
      <c r="P4" s="519" t="s">
        <v>74</v>
      </c>
      <c r="Q4" s="520"/>
      <c r="R4" s="388"/>
      <c r="S4" s="519" t="s">
        <v>88</v>
      </c>
      <c r="T4" s="520"/>
      <c r="U4" s="388"/>
      <c r="V4" s="519" t="s">
        <v>89</v>
      </c>
      <c r="W4" s="520"/>
      <c r="X4" s="388"/>
      <c r="Y4" s="519" t="s">
        <v>129</v>
      </c>
      <c r="Z4" s="520"/>
      <c r="AA4" s="388"/>
      <c r="AB4" s="519" t="s">
        <v>76</v>
      </c>
      <c r="AC4" s="520"/>
      <c r="AD4" s="416"/>
    </row>
    <row r="5" spans="1:30" s="55" customFormat="1" ht="57" x14ac:dyDescent="0.25">
      <c r="A5" s="310">
        <v>2</v>
      </c>
      <c r="B5" s="97"/>
      <c r="C5" s="45" t="s">
        <v>316</v>
      </c>
      <c r="D5" s="387" t="s">
        <v>344</v>
      </c>
      <c r="E5" s="374" t="s">
        <v>345</v>
      </c>
      <c r="F5" s="374" t="s">
        <v>410</v>
      </c>
      <c r="G5" s="387" t="s">
        <v>344</v>
      </c>
      <c r="H5" s="374" t="s">
        <v>345</v>
      </c>
      <c r="I5" s="374" t="s">
        <v>410</v>
      </c>
      <c r="J5" s="387" t="s">
        <v>344</v>
      </c>
      <c r="K5" s="374" t="s">
        <v>345</v>
      </c>
      <c r="L5" s="374" t="s">
        <v>410</v>
      </c>
      <c r="M5" s="387" t="s">
        <v>344</v>
      </c>
      <c r="N5" s="374" t="s">
        <v>345</v>
      </c>
      <c r="O5" s="374" t="s">
        <v>410</v>
      </c>
      <c r="P5" s="387" t="s">
        <v>344</v>
      </c>
      <c r="Q5" s="374" t="s">
        <v>345</v>
      </c>
      <c r="R5" s="374" t="s">
        <v>410</v>
      </c>
      <c r="S5" s="387" t="s">
        <v>344</v>
      </c>
      <c r="T5" s="374" t="s">
        <v>345</v>
      </c>
      <c r="U5" s="374" t="s">
        <v>410</v>
      </c>
      <c r="V5" s="387" t="s">
        <v>344</v>
      </c>
      <c r="W5" s="374" t="s">
        <v>345</v>
      </c>
      <c r="X5" s="374" t="s">
        <v>410</v>
      </c>
      <c r="Y5" s="387" t="s">
        <v>344</v>
      </c>
      <c r="Z5" s="374" t="s">
        <v>345</v>
      </c>
      <c r="AA5" s="374" t="s">
        <v>410</v>
      </c>
      <c r="AB5" s="387" t="s">
        <v>344</v>
      </c>
      <c r="AC5" s="374" t="s">
        <v>345</v>
      </c>
      <c r="AD5" s="374" t="s">
        <v>410</v>
      </c>
    </row>
    <row r="6" spans="1:30" s="55" customFormat="1" ht="25.5" x14ac:dyDescent="0.25">
      <c r="A6" s="95"/>
      <c r="B6" s="4" t="s">
        <v>77</v>
      </c>
      <c r="C6" s="335" t="s">
        <v>348</v>
      </c>
      <c r="D6" s="119"/>
      <c r="E6" s="14"/>
      <c r="F6" s="14"/>
      <c r="G6" s="119"/>
      <c r="H6" s="14"/>
      <c r="I6" s="14"/>
      <c r="J6" s="119"/>
      <c r="K6" s="14"/>
      <c r="L6" s="14"/>
      <c r="M6" s="119"/>
      <c r="N6" s="14"/>
      <c r="O6" s="14"/>
      <c r="P6" s="119"/>
      <c r="Q6" s="14"/>
      <c r="R6" s="14"/>
      <c r="S6" s="119"/>
      <c r="T6" s="14"/>
      <c r="U6" s="14"/>
      <c r="V6" s="82">
        <v>183365842</v>
      </c>
      <c r="W6" s="128">
        <f>V6+1115300</f>
        <v>184481142</v>
      </c>
      <c r="X6" s="128">
        <v>81933926</v>
      </c>
      <c r="Y6" s="82">
        <v>1035007</v>
      </c>
      <c r="Z6" s="82">
        <f>Y6-98510</f>
        <v>936497</v>
      </c>
      <c r="AA6" s="82">
        <v>936497</v>
      </c>
      <c r="AB6" s="282">
        <f>D6+G6+J6+M6+P6+S6+V6+Y6</f>
        <v>184400849</v>
      </c>
      <c r="AC6" s="128">
        <f>E6+H6+K6+N6+Q6+T6+W6+Z6</f>
        <v>185417639</v>
      </c>
      <c r="AD6" s="432">
        <f>F6+I6+L6+O6+R6+U6+X6+AA6</f>
        <v>82870423</v>
      </c>
    </row>
    <row r="7" spans="1:30" x14ac:dyDescent="0.25">
      <c r="A7" s="310">
        <v>3</v>
      </c>
      <c r="B7" s="4" t="s">
        <v>77</v>
      </c>
      <c r="C7" s="335" t="s">
        <v>349</v>
      </c>
      <c r="D7" s="80"/>
      <c r="E7" s="80"/>
      <c r="F7" s="80"/>
      <c r="G7" s="80"/>
      <c r="H7" s="80"/>
      <c r="I7" s="80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82"/>
      <c r="X7" s="82"/>
      <c r="Y7" s="82"/>
      <c r="Z7" s="82"/>
      <c r="AA7" s="82"/>
      <c r="AB7" s="282">
        <f t="shared" ref="AB7:AB15" si="0">D7+G7+J7+M7+P7+S7+V7+Y7</f>
        <v>0</v>
      </c>
      <c r="AC7" s="128">
        <f t="shared" ref="AC7:AC15" si="1">E7+H7+K7+N7+Q7+T7+W7+Z7</f>
        <v>0</v>
      </c>
      <c r="AD7" s="432">
        <f t="shared" ref="AD7:AD15" si="2">F7+I7+L7+O7+R7+U7+X7+AA7</f>
        <v>0</v>
      </c>
    </row>
    <row r="8" spans="1:30" s="333" customFormat="1" x14ac:dyDescent="0.25">
      <c r="A8" s="310"/>
      <c r="B8" s="4" t="s">
        <v>77</v>
      </c>
      <c r="C8" s="335" t="s">
        <v>350</v>
      </c>
      <c r="D8" s="80"/>
      <c r="E8" s="80"/>
      <c r="F8" s="80">
        <v>5468</v>
      </c>
      <c r="G8" s="80"/>
      <c r="H8" s="80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82"/>
      <c r="X8" s="82"/>
      <c r="Y8" s="82"/>
      <c r="Z8" s="82"/>
      <c r="AA8" s="82"/>
      <c r="AB8" s="282"/>
      <c r="AC8" s="128"/>
      <c r="AD8" s="432">
        <f t="shared" si="2"/>
        <v>5468</v>
      </c>
    </row>
    <row r="9" spans="1:30" ht="25.5" x14ac:dyDescent="0.25">
      <c r="A9" s="95"/>
      <c r="B9" s="4" t="s">
        <v>77</v>
      </c>
      <c r="C9" s="335" t="s">
        <v>327</v>
      </c>
      <c r="D9" s="80">
        <v>352882</v>
      </c>
      <c r="E9" s="80">
        <f>D9</f>
        <v>352882</v>
      </c>
      <c r="F9" s="80">
        <v>129407</v>
      </c>
      <c r="G9" s="80"/>
      <c r="H9" s="80"/>
      <c r="I9" s="80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  <c r="W9" s="82"/>
      <c r="X9" s="82"/>
      <c r="Y9" s="82"/>
      <c r="Z9" s="82"/>
      <c r="AA9" s="82"/>
      <c r="AB9" s="282">
        <f t="shared" si="0"/>
        <v>352882</v>
      </c>
      <c r="AC9" s="128">
        <f t="shared" si="1"/>
        <v>352882</v>
      </c>
      <c r="AD9" s="432">
        <f t="shared" si="2"/>
        <v>129407</v>
      </c>
    </row>
    <row r="10" spans="1:30" s="333" customFormat="1" x14ac:dyDescent="0.25">
      <c r="A10" s="95"/>
      <c r="B10" s="4" t="s">
        <v>77</v>
      </c>
      <c r="C10" s="335" t="s">
        <v>351</v>
      </c>
      <c r="D10" s="80"/>
      <c r="E10" s="80"/>
      <c r="F10" s="80"/>
      <c r="G10" s="80"/>
      <c r="H10" s="80"/>
      <c r="I10" s="80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82"/>
      <c r="X10" s="82"/>
      <c r="Y10" s="82"/>
      <c r="Z10" s="82"/>
      <c r="AA10" s="82"/>
      <c r="AB10" s="282"/>
      <c r="AC10" s="128"/>
      <c r="AD10" s="432">
        <f t="shared" si="2"/>
        <v>0</v>
      </c>
    </row>
    <row r="11" spans="1:30" ht="25.5" x14ac:dyDescent="0.25">
      <c r="A11" s="310">
        <v>4</v>
      </c>
      <c r="B11" s="4" t="s">
        <v>77</v>
      </c>
      <c r="C11" s="335" t="s">
        <v>352</v>
      </c>
      <c r="D11" s="80"/>
      <c r="E11" s="80"/>
      <c r="F11" s="80"/>
      <c r="G11" s="80"/>
      <c r="H11" s="80"/>
      <c r="I11" s="80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82"/>
      <c r="X11" s="82"/>
      <c r="Y11" s="82"/>
      <c r="Z11" s="82"/>
      <c r="AA11" s="82"/>
      <c r="AB11" s="282">
        <f t="shared" si="0"/>
        <v>0</v>
      </c>
      <c r="AC11" s="128">
        <f t="shared" si="1"/>
        <v>0</v>
      </c>
      <c r="AD11" s="432">
        <f t="shared" si="2"/>
        <v>0</v>
      </c>
    </row>
    <row r="12" spans="1:30" x14ac:dyDescent="0.25">
      <c r="A12" s="95"/>
      <c r="B12" s="4"/>
      <c r="C12" s="4"/>
      <c r="D12" s="80"/>
      <c r="E12" s="80"/>
      <c r="F12" s="80"/>
      <c r="G12" s="80"/>
      <c r="H12" s="80"/>
      <c r="I12" s="8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82"/>
      <c r="X12" s="82"/>
      <c r="Y12" s="82"/>
      <c r="Z12" s="82"/>
      <c r="AA12" s="82"/>
      <c r="AB12" s="282">
        <f t="shared" si="0"/>
        <v>0</v>
      </c>
      <c r="AC12" s="128">
        <f t="shared" si="1"/>
        <v>0</v>
      </c>
      <c r="AD12" s="432">
        <f t="shared" si="2"/>
        <v>0</v>
      </c>
    </row>
    <row r="13" spans="1:30" s="55" customFormat="1" x14ac:dyDescent="0.25">
      <c r="A13" s="310">
        <v>5</v>
      </c>
      <c r="B13" s="98"/>
      <c r="C13" s="56" t="s">
        <v>91</v>
      </c>
      <c r="D13" s="83">
        <f t="shared" ref="D13:AD13" si="3">SUM(D6:D11)</f>
        <v>352882</v>
      </c>
      <c r="E13" s="83">
        <f t="shared" si="3"/>
        <v>352882</v>
      </c>
      <c r="F13" s="83">
        <f t="shared" si="3"/>
        <v>134875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83">
        <f t="shared" si="3"/>
        <v>0</v>
      </c>
      <c r="P13" s="83">
        <f t="shared" si="3"/>
        <v>0</v>
      </c>
      <c r="Q13" s="83">
        <f t="shared" si="3"/>
        <v>0</v>
      </c>
      <c r="R13" s="83">
        <f t="shared" si="3"/>
        <v>0</v>
      </c>
      <c r="S13" s="83">
        <f t="shared" si="3"/>
        <v>0</v>
      </c>
      <c r="T13" s="83">
        <f t="shared" si="3"/>
        <v>0</v>
      </c>
      <c r="U13" s="83">
        <f t="shared" si="3"/>
        <v>0</v>
      </c>
      <c r="V13" s="83">
        <f t="shared" si="3"/>
        <v>183365842</v>
      </c>
      <c r="W13" s="83">
        <f t="shared" si="3"/>
        <v>184481142</v>
      </c>
      <c r="X13" s="83">
        <f t="shared" si="3"/>
        <v>81933926</v>
      </c>
      <c r="Y13" s="83">
        <f t="shared" si="3"/>
        <v>1035007</v>
      </c>
      <c r="Z13" s="83">
        <f t="shared" si="3"/>
        <v>936497</v>
      </c>
      <c r="AA13" s="83">
        <f t="shared" si="3"/>
        <v>936497</v>
      </c>
      <c r="AB13" s="83">
        <f t="shared" si="3"/>
        <v>184753731</v>
      </c>
      <c r="AC13" s="83">
        <f t="shared" si="3"/>
        <v>185770521</v>
      </c>
      <c r="AD13" s="83">
        <f t="shared" si="3"/>
        <v>83005298</v>
      </c>
    </row>
    <row r="14" spans="1:30" x14ac:dyDescent="0.25">
      <c r="A14" s="310">
        <v>6</v>
      </c>
      <c r="B14" s="4"/>
      <c r="C14" s="4" t="s">
        <v>82</v>
      </c>
      <c r="D14" s="77">
        <f t="shared" ref="D14:AD14" si="4">D7+D9+D11+D6</f>
        <v>352882</v>
      </c>
      <c r="E14" s="77">
        <f t="shared" si="4"/>
        <v>352882</v>
      </c>
      <c r="F14" s="77">
        <f t="shared" si="4"/>
        <v>129407</v>
      </c>
      <c r="G14" s="77">
        <f t="shared" si="4"/>
        <v>0</v>
      </c>
      <c r="H14" s="77">
        <f t="shared" si="4"/>
        <v>0</v>
      </c>
      <c r="I14" s="77">
        <f t="shared" si="4"/>
        <v>0</v>
      </c>
      <c r="J14" s="77">
        <f t="shared" si="4"/>
        <v>0</v>
      </c>
      <c r="K14" s="77">
        <f t="shared" si="4"/>
        <v>0</v>
      </c>
      <c r="L14" s="77">
        <f t="shared" si="4"/>
        <v>0</v>
      </c>
      <c r="M14" s="77">
        <f t="shared" si="4"/>
        <v>0</v>
      </c>
      <c r="N14" s="77">
        <f t="shared" si="4"/>
        <v>0</v>
      </c>
      <c r="O14" s="77">
        <f t="shared" si="4"/>
        <v>0</v>
      </c>
      <c r="P14" s="77">
        <f t="shared" si="4"/>
        <v>0</v>
      </c>
      <c r="Q14" s="77">
        <f t="shared" si="4"/>
        <v>0</v>
      </c>
      <c r="R14" s="77">
        <f t="shared" si="4"/>
        <v>0</v>
      </c>
      <c r="S14" s="77">
        <f t="shared" si="4"/>
        <v>0</v>
      </c>
      <c r="T14" s="77">
        <f t="shared" si="4"/>
        <v>0</v>
      </c>
      <c r="U14" s="77">
        <f t="shared" si="4"/>
        <v>0</v>
      </c>
      <c r="V14" s="77">
        <f t="shared" si="4"/>
        <v>183365842</v>
      </c>
      <c r="W14" s="77">
        <f t="shared" si="4"/>
        <v>184481142</v>
      </c>
      <c r="X14" s="77">
        <f t="shared" si="4"/>
        <v>81933926</v>
      </c>
      <c r="Y14" s="77">
        <f t="shared" si="4"/>
        <v>1035007</v>
      </c>
      <c r="Z14" s="77">
        <f t="shared" si="4"/>
        <v>936497</v>
      </c>
      <c r="AA14" s="77">
        <f t="shared" si="4"/>
        <v>936497</v>
      </c>
      <c r="AB14" s="77">
        <f t="shared" si="4"/>
        <v>184753731</v>
      </c>
      <c r="AC14" s="77">
        <f t="shared" si="4"/>
        <v>185770521</v>
      </c>
      <c r="AD14" s="77">
        <f t="shared" si="4"/>
        <v>82999830</v>
      </c>
    </row>
    <row r="15" spans="1:30" x14ac:dyDescent="0.25">
      <c r="A15" s="310">
        <v>7</v>
      </c>
      <c r="B15" s="4"/>
      <c r="C15" s="4" t="s">
        <v>83</v>
      </c>
      <c r="D15" s="77">
        <f t="shared" ref="D15:W15" si="5">SUMIF($B7:$B11,"nem kötelező",D7:D11)</f>
        <v>0</v>
      </c>
      <c r="E15" s="77">
        <f t="shared" si="5"/>
        <v>0</v>
      </c>
      <c r="F15" s="77"/>
      <c r="G15" s="77">
        <f t="shared" si="5"/>
        <v>0</v>
      </c>
      <c r="H15" s="77">
        <f t="shared" si="5"/>
        <v>0</v>
      </c>
      <c r="I15" s="77"/>
      <c r="J15" s="77">
        <f t="shared" si="5"/>
        <v>0</v>
      </c>
      <c r="K15" s="77">
        <f t="shared" si="5"/>
        <v>0</v>
      </c>
      <c r="L15" s="77"/>
      <c r="M15" s="77">
        <f t="shared" si="5"/>
        <v>0</v>
      </c>
      <c r="N15" s="77">
        <f t="shared" si="5"/>
        <v>0</v>
      </c>
      <c r="O15" s="77"/>
      <c r="P15" s="77">
        <f t="shared" si="5"/>
        <v>0</v>
      </c>
      <c r="Q15" s="77">
        <f t="shared" si="5"/>
        <v>0</v>
      </c>
      <c r="R15" s="77"/>
      <c r="S15" s="77">
        <f t="shared" si="5"/>
        <v>0</v>
      </c>
      <c r="T15" s="77">
        <f t="shared" si="5"/>
        <v>0</v>
      </c>
      <c r="U15" s="77"/>
      <c r="V15" s="77">
        <f t="shared" si="5"/>
        <v>0</v>
      </c>
      <c r="W15" s="77">
        <f t="shared" si="5"/>
        <v>0</v>
      </c>
      <c r="X15" s="77"/>
      <c r="Y15" s="82"/>
      <c r="Z15" s="82"/>
      <c r="AA15" s="82"/>
      <c r="AB15" s="282">
        <f t="shared" si="0"/>
        <v>0</v>
      </c>
      <c r="AC15" s="128">
        <f t="shared" si="1"/>
        <v>0</v>
      </c>
      <c r="AD15" s="432">
        <f t="shared" si="2"/>
        <v>0</v>
      </c>
    </row>
    <row r="16" spans="1:30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D16" s="49">
        <f>AD13-AD14</f>
        <v>5468</v>
      </c>
    </row>
    <row r="17" spans="7:29" x14ac:dyDescent="0.25">
      <c r="AC17" s="49"/>
    </row>
    <row r="19" spans="7:29" x14ac:dyDescent="0.25">
      <c r="AC19" s="49"/>
    </row>
    <row r="23" spans="7:29" x14ac:dyDescent="0.25">
      <c r="G23" s="48" t="s">
        <v>98</v>
      </c>
    </row>
  </sheetData>
  <mergeCells count="20">
    <mergeCell ref="J4:K4"/>
    <mergeCell ref="M4:N4"/>
    <mergeCell ref="P4:Q4"/>
    <mergeCell ref="C2:AB2"/>
    <mergeCell ref="A1:K1"/>
    <mergeCell ref="S4:T4"/>
    <mergeCell ref="V4:W4"/>
    <mergeCell ref="AB4:AC4"/>
    <mergeCell ref="D3:E3"/>
    <mergeCell ref="G3:H3"/>
    <mergeCell ref="J3:K3"/>
    <mergeCell ref="M3:N3"/>
    <mergeCell ref="P3:Q3"/>
    <mergeCell ref="S3:T3"/>
    <mergeCell ref="V3:W3"/>
    <mergeCell ref="Y4:Z4"/>
    <mergeCell ref="Y3:Z3"/>
    <mergeCell ref="AB3:AC3"/>
    <mergeCell ref="D4:E4"/>
    <mergeCell ref="G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BB73"/>
  <sheetViews>
    <sheetView zoomScale="96" zoomScaleNormal="96" zoomScaleSheetLayoutView="100" workbookViewId="0">
      <pane xSplit="3" ySplit="6" topLeftCell="AN7" activePane="bottomRight" state="frozen"/>
      <selection pane="topRight" activeCell="D1" sqref="D1"/>
      <selection pane="bottomLeft" activeCell="A6" sqref="A6"/>
      <selection pane="bottomRight" activeCell="AQ5" sqref="AQ5:AR5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6" width="11.42578125" style="308" customWidth="1"/>
    <col min="7" max="8" width="13.28515625" style="9" customWidth="1"/>
    <col min="9" max="9" width="13.28515625" style="308" customWidth="1"/>
    <col min="10" max="10" width="12.7109375" style="9" customWidth="1"/>
    <col min="11" max="11" width="13.42578125" style="9" customWidth="1"/>
    <col min="12" max="12" width="13.42578125" style="308" customWidth="1"/>
    <col min="13" max="13" width="11.7109375" style="9" customWidth="1"/>
    <col min="14" max="14" width="12.28515625" style="9" customWidth="1"/>
    <col min="15" max="15" width="12.28515625" style="308" customWidth="1"/>
    <col min="16" max="16" width="12.28515625" style="9" customWidth="1"/>
    <col min="17" max="17" width="12.42578125" style="9" customWidth="1"/>
    <col min="18" max="18" width="12.42578125" style="308" customWidth="1"/>
    <col min="19" max="20" width="12.28515625" style="9" customWidth="1"/>
    <col min="21" max="21" width="12.28515625" style="308" customWidth="1"/>
    <col min="22" max="22" width="10.140625" style="9" customWidth="1"/>
    <col min="23" max="23" width="9.7109375" style="9" customWidth="1"/>
    <col min="24" max="24" width="9.7109375" style="308" customWidth="1"/>
    <col min="25" max="25" width="7.85546875" style="9" customWidth="1"/>
    <col min="26" max="26" width="7.140625" style="9" bestFit="1" customWidth="1"/>
    <col min="27" max="27" width="7.140625" style="308" customWidth="1"/>
    <col min="28" max="29" width="12.42578125" style="9" bestFit="1" customWidth="1"/>
    <col min="30" max="30" width="12.42578125" style="308" customWidth="1"/>
    <col min="31" max="32" width="12.28515625" style="9" customWidth="1"/>
    <col min="33" max="33" width="12.28515625" style="308" customWidth="1"/>
    <col min="34" max="34" width="12.28515625" style="9" customWidth="1"/>
    <col min="35" max="35" width="11.28515625" style="9" bestFit="1" customWidth="1"/>
    <col min="36" max="36" width="11.28515625" style="308" customWidth="1"/>
    <col min="37" max="38" width="11.28515625" style="9" bestFit="1" customWidth="1"/>
    <col min="39" max="39" width="11.28515625" style="308" customWidth="1"/>
    <col min="40" max="41" width="10.140625" style="9" bestFit="1" customWidth="1"/>
    <col min="42" max="42" width="10.140625" style="308" customWidth="1"/>
    <col min="43" max="43" width="13.85546875" style="9" customWidth="1"/>
    <col min="44" max="44" width="14.28515625" style="9" bestFit="1" customWidth="1"/>
    <col min="45" max="45" width="14.28515625" style="308" customWidth="1"/>
    <col min="46" max="47" width="12.42578125" style="9" bestFit="1" customWidth="1"/>
    <col min="48" max="48" width="11.5703125" style="308" customWidth="1"/>
    <col min="49" max="49" width="14.5703125" style="9" customWidth="1"/>
    <col min="50" max="50" width="13.140625" style="9" customWidth="1"/>
    <col min="51" max="51" width="12.5703125" style="9" customWidth="1"/>
    <col min="52" max="52" width="12.42578125" style="9" bestFit="1" customWidth="1"/>
    <col min="53" max="16384" width="9.28515625" style="9"/>
  </cols>
  <sheetData>
    <row r="1" spans="1:54" x14ac:dyDescent="0.25"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</row>
    <row r="2" spans="1:54" x14ac:dyDescent="0.25"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AN2" s="308" t="s">
        <v>422</v>
      </c>
      <c r="AU2" s="322"/>
      <c r="AV2" s="322"/>
      <c r="AW2" s="322"/>
      <c r="AX2" s="307"/>
    </row>
    <row r="3" spans="1:54" ht="15" customHeight="1" x14ac:dyDescent="0.25">
      <c r="A3" s="324"/>
      <c r="B3" s="325"/>
      <c r="C3" s="536" t="s">
        <v>389</v>
      </c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7"/>
      <c r="AF3" s="53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7"/>
      <c r="AU3" s="537"/>
      <c r="AV3" s="537"/>
      <c r="AW3" s="537"/>
      <c r="AX3" s="537"/>
      <c r="AY3" s="16"/>
    </row>
    <row r="4" spans="1:54" ht="48" customHeight="1" x14ac:dyDescent="0.25">
      <c r="A4" s="321" t="s">
        <v>53</v>
      </c>
      <c r="B4" s="321" t="s">
        <v>61</v>
      </c>
      <c r="C4" s="323" t="s">
        <v>54</v>
      </c>
      <c r="D4" s="541" t="s">
        <v>55</v>
      </c>
      <c r="E4" s="542"/>
      <c r="F4" s="381"/>
      <c r="G4" s="541" t="s">
        <v>56</v>
      </c>
      <c r="H4" s="542"/>
      <c r="I4" s="381"/>
      <c r="J4" s="541" t="s">
        <v>63</v>
      </c>
      <c r="K4" s="542"/>
      <c r="L4" s="381"/>
      <c r="M4" s="541" t="s">
        <v>65</v>
      </c>
      <c r="N4" s="542"/>
      <c r="O4" s="381"/>
      <c r="P4" s="541" t="s">
        <v>66</v>
      </c>
      <c r="Q4" s="542"/>
      <c r="R4" s="381"/>
      <c r="S4" s="541" t="s">
        <v>67</v>
      </c>
      <c r="T4" s="542"/>
      <c r="U4" s="381"/>
      <c r="V4" s="541" t="s">
        <v>68</v>
      </c>
      <c r="W4" s="542"/>
      <c r="X4" s="381"/>
      <c r="Y4" s="541" t="s">
        <v>93</v>
      </c>
      <c r="Z4" s="542"/>
      <c r="AA4" s="381"/>
      <c r="AB4" s="541" t="s">
        <v>180</v>
      </c>
      <c r="AC4" s="542"/>
      <c r="AD4" s="381"/>
      <c r="AE4" s="541" t="s">
        <v>94</v>
      </c>
      <c r="AF4" s="542"/>
      <c r="AG4" s="381"/>
      <c r="AH4" s="541" t="s">
        <v>181</v>
      </c>
      <c r="AI4" s="542"/>
      <c r="AJ4" s="381"/>
      <c r="AK4" s="541" t="s">
        <v>95</v>
      </c>
      <c r="AL4" s="542"/>
      <c r="AM4" s="381"/>
      <c r="AN4" s="541" t="s">
        <v>206</v>
      </c>
      <c r="AO4" s="542"/>
      <c r="AP4" s="381"/>
      <c r="AQ4" s="541" t="s">
        <v>182</v>
      </c>
      <c r="AR4" s="542"/>
      <c r="AS4" s="381"/>
      <c r="AT4" s="541" t="s">
        <v>183</v>
      </c>
      <c r="AU4" s="542"/>
      <c r="AV4" s="382"/>
      <c r="AW4" s="382"/>
      <c r="AX4" s="383" t="s">
        <v>184</v>
      </c>
      <c r="AY4" s="384"/>
    </row>
    <row r="5" spans="1:54" ht="72.75" customHeight="1" x14ac:dyDescent="0.25">
      <c r="A5" s="11" t="s">
        <v>1</v>
      </c>
      <c r="B5" s="100" t="s">
        <v>69</v>
      </c>
      <c r="C5" s="380" t="s">
        <v>70</v>
      </c>
      <c r="D5" s="539" t="s">
        <v>41</v>
      </c>
      <c r="E5" s="540"/>
      <c r="F5" s="379"/>
      <c r="G5" s="539" t="s">
        <v>100</v>
      </c>
      <c r="H5" s="540"/>
      <c r="I5" s="379"/>
      <c r="J5" s="539" t="s">
        <v>42</v>
      </c>
      <c r="K5" s="540"/>
      <c r="L5" s="379"/>
      <c r="M5" s="539" t="s">
        <v>101</v>
      </c>
      <c r="N5" s="540"/>
      <c r="O5" s="379"/>
      <c r="P5" s="539" t="s">
        <v>102</v>
      </c>
      <c r="Q5" s="540"/>
      <c r="R5" s="379"/>
      <c r="S5" s="539" t="s">
        <v>103</v>
      </c>
      <c r="T5" s="540"/>
      <c r="U5" s="379"/>
      <c r="V5" s="539" t="s">
        <v>120</v>
      </c>
      <c r="W5" s="540"/>
      <c r="X5" s="379"/>
      <c r="Y5" s="539" t="s">
        <v>121</v>
      </c>
      <c r="Z5" s="540"/>
      <c r="AA5" s="379"/>
      <c r="AB5" s="539" t="s">
        <v>45</v>
      </c>
      <c r="AC5" s="540"/>
      <c r="AD5" s="379"/>
      <c r="AE5" s="539" t="s">
        <v>46</v>
      </c>
      <c r="AF5" s="540"/>
      <c r="AG5" s="379"/>
      <c r="AH5" s="539" t="s">
        <v>104</v>
      </c>
      <c r="AI5" s="540"/>
      <c r="AJ5" s="379"/>
      <c r="AK5" s="539" t="s">
        <v>105</v>
      </c>
      <c r="AL5" s="540"/>
      <c r="AM5" s="379"/>
      <c r="AN5" s="539" t="s">
        <v>207</v>
      </c>
      <c r="AO5" s="540"/>
      <c r="AP5" s="379"/>
      <c r="AQ5" s="539" t="s">
        <v>84</v>
      </c>
      <c r="AR5" s="540"/>
      <c r="AS5" s="379"/>
      <c r="AT5" s="539" t="s">
        <v>106</v>
      </c>
      <c r="AU5" s="540"/>
      <c r="AV5" s="379"/>
      <c r="AW5" s="363" t="s">
        <v>107</v>
      </c>
      <c r="AX5" s="386"/>
      <c r="AY5" s="385"/>
      <c r="BB5" s="375"/>
    </row>
    <row r="6" spans="1:54" ht="43.5" customHeight="1" x14ac:dyDescent="0.25">
      <c r="A6" s="11" t="s">
        <v>3</v>
      </c>
      <c r="B6" s="12"/>
      <c r="C6" s="13" t="s">
        <v>205</v>
      </c>
      <c r="D6" s="374" t="s">
        <v>359</v>
      </c>
      <c r="E6" s="374" t="s">
        <v>345</v>
      </c>
      <c r="F6" s="374" t="s">
        <v>405</v>
      </c>
      <c r="G6" s="374" t="s">
        <v>359</v>
      </c>
      <c r="H6" s="374" t="s">
        <v>345</v>
      </c>
      <c r="I6" s="374" t="s">
        <v>405</v>
      </c>
      <c r="J6" s="374" t="s">
        <v>359</v>
      </c>
      <c r="K6" s="374" t="s">
        <v>345</v>
      </c>
      <c r="L6" s="374" t="s">
        <v>405</v>
      </c>
      <c r="M6" s="374" t="s">
        <v>359</v>
      </c>
      <c r="N6" s="374" t="s">
        <v>345</v>
      </c>
      <c r="O6" s="374" t="s">
        <v>405</v>
      </c>
      <c r="P6" s="374" t="s">
        <v>359</v>
      </c>
      <c r="Q6" s="374" t="s">
        <v>345</v>
      </c>
      <c r="R6" s="374" t="s">
        <v>405</v>
      </c>
      <c r="S6" s="374" t="s">
        <v>359</v>
      </c>
      <c r="T6" s="374" t="s">
        <v>345</v>
      </c>
      <c r="U6" s="374" t="s">
        <v>405</v>
      </c>
      <c r="V6" s="374" t="s">
        <v>359</v>
      </c>
      <c r="W6" s="374" t="s">
        <v>345</v>
      </c>
      <c r="X6" s="374" t="s">
        <v>405</v>
      </c>
      <c r="Y6" s="374" t="s">
        <v>359</v>
      </c>
      <c r="Z6" s="374" t="s">
        <v>345</v>
      </c>
      <c r="AA6" s="374" t="s">
        <v>405</v>
      </c>
      <c r="AB6" s="374" t="s">
        <v>359</v>
      </c>
      <c r="AC6" s="374" t="s">
        <v>345</v>
      </c>
      <c r="AD6" s="374" t="s">
        <v>405</v>
      </c>
      <c r="AE6" s="374" t="s">
        <v>359</v>
      </c>
      <c r="AF6" s="374" t="s">
        <v>345</v>
      </c>
      <c r="AG6" s="374" t="s">
        <v>405</v>
      </c>
      <c r="AH6" s="374" t="s">
        <v>359</v>
      </c>
      <c r="AI6" s="374" t="s">
        <v>345</v>
      </c>
      <c r="AJ6" s="374" t="s">
        <v>405</v>
      </c>
      <c r="AK6" s="374" t="s">
        <v>359</v>
      </c>
      <c r="AL6" s="374" t="s">
        <v>345</v>
      </c>
      <c r="AM6" s="374" t="s">
        <v>405</v>
      </c>
      <c r="AN6" s="374" t="s">
        <v>359</v>
      </c>
      <c r="AO6" s="374" t="s">
        <v>345</v>
      </c>
      <c r="AP6" s="374" t="s">
        <v>405</v>
      </c>
      <c r="AQ6" s="374" t="s">
        <v>359</v>
      </c>
      <c r="AR6" s="374" t="s">
        <v>345</v>
      </c>
      <c r="AS6" s="374" t="s">
        <v>405</v>
      </c>
      <c r="AT6" s="374" t="s">
        <v>359</v>
      </c>
      <c r="AU6" s="374" t="s">
        <v>345</v>
      </c>
      <c r="AV6" s="374" t="s">
        <v>405</v>
      </c>
      <c r="AW6" s="374" t="s">
        <v>360</v>
      </c>
      <c r="AX6" s="374" t="s">
        <v>345</v>
      </c>
      <c r="AY6" s="374" t="s">
        <v>405</v>
      </c>
    </row>
    <row r="7" spans="1:54" x14ac:dyDescent="0.25">
      <c r="A7" s="11" t="s">
        <v>4</v>
      </c>
      <c r="B7" s="5" t="s">
        <v>77</v>
      </c>
      <c r="C7" s="6" t="s">
        <v>189</v>
      </c>
      <c r="D7" s="84">
        <v>19255386</v>
      </c>
      <c r="E7" s="109">
        <f>D7</f>
        <v>19255386</v>
      </c>
      <c r="F7" s="109">
        <v>10678526</v>
      </c>
      <c r="G7" s="84">
        <v>2269854</v>
      </c>
      <c r="H7" s="84">
        <f>G7</f>
        <v>2269854</v>
      </c>
      <c r="I7" s="84">
        <v>1287278</v>
      </c>
      <c r="J7" s="84">
        <v>11821265</v>
      </c>
      <c r="K7" s="84">
        <f>J7</f>
        <v>11821265</v>
      </c>
      <c r="L7" s="84">
        <v>16611020</v>
      </c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>
        <v>1092200</v>
      </c>
      <c r="AC7" s="84">
        <f>AB7</f>
        <v>1092200</v>
      </c>
      <c r="AD7" s="84">
        <v>85154</v>
      </c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7">
        <f>D7+G7+J7+M7+P7+S7+V7+Y7+AB7+AE7+AH7+AK7+AN7</f>
        <v>34438705</v>
      </c>
      <c r="AR7" s="7">
        <f>E7+H7+K7+N7+Q7+T7+W7+Z7+AC7+AF7+AI7+AL7+AO7</f>
        <v>34438705</v>
      </c>
      <c r="AS7" s="7"/>
      <c r="AT7" s="8"/>
      <c r="AU7" s="8"/>
      <c r="AV7" s="8"/>
      <c r="AW7" s="8">
        <f>AQ7+AT7</f>
        <v>34438705</v>
      </c>
      <c r="AX7" s="129">
        <f>AR7+AU7</f>
        <v>34438705</v>
      </c>
      <c r="AY7" s="61">
        <f>F7+I7+L7+O7+R7+U7+X7+AA7+AD7+AG7+AJ7+AM7+AP7+AS7+AV7</f>
        <v>28661978</v>
      </c>
    </row>
    <row r="8" spans="1:54" x14ac:dyDescent="0.25">
      <c r="A8" s="11" t="s">
        <v>19</v>
      </c>
      <c r="B8" s="5" t="s">
        <v>77</v>
      </c>
      <c r="C8" s="6" t="s">
        <v>208</v>
      </c>
      <c r="D8" s="84"/>
      <c r="E8" s="109"/>
      <c r="F8" s="109"/>
      <c r="G8" s="84"/>
      <c r="H8" s="84"/>
      <c r="I8" s="84"/>
      <c r="J8" s="84">
        <v>1003681</v>
      </c>
      <c r="K8" s="84">
        <f t="shared" ref="K8:K9" si="0">J8</f>
        <v>1003681</v>
      </c>
      <c r="L8" s="84">
        <v>519058</v>
      </c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>
        <f>4724410+1275590</f>
        <v>6000000</v>
      </c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7">
        <f t="shared" ref="AQ8:AQ41" si="1">D8+G8+J8+M8+P8+S8+V8+Y8+AB8+AE8+AH8+AK8+AN8</f>
        <v>1003681</v>
      </c>
      <c r="AR8" s="7">
        <f t="shared" ref="AR8:AR41" si="2">E8+H8+K8+N8+Q8+T8+W8+Z8+AC8+AF8+AI8+AL8+AO8</f>
        <v>7003681</v>
      </c>
      <c r="AS8" s="7"/>
      <c r="AT8" s="8"/>
      <c r="AU8" s="8"/>
      <c r="AV8" s="8"/>
      <c r="AW8" s="8">
        <f t="shared" ref="AW8:AW41" si="3">AQ8+AT8</f>
        <v>1003681</v>
      </c>
      <c r="AX8" s="129">
        <f t="shared" ref="AX8:AX41" si="4">AR8+AU8</f>
        <v>7003681</v>
      </c>
      <c r="AY8" s="61">
        <f t="shared" ref="AY8:AY63" si="5">F8+I8+L8+O8+R8+U8+X8+AA8+AD8+AG8+AJ8+AM8+AP8+AS8+AV8</f>
        <v>519058</v>
      </c>
    </row>
    <row r="9" spans="1:54" x14ac:dyDescent="0.25">
      <c r="A9" s="11" t="s">
        <v>21</v>
      </c>
      <c r="B9" s="5" t="s">
        <v>77</v>
      </c>
      <c r="C9" s="6" t="s">
        <v>190</v>
      </c>
      <c r="D9" s="85"/>
      <c r="E9" s="110"/>
      <c r="F9" s="110">
        <v>107002</v>
      </c>
      <c r="G9" s="85"/>
      <c r="H9" s="85"/>
      <c r="I9" s="85"/>
      <c r="J9" s="88">
        <v>3938560</v>
      </c>
      <c r="K9" s="84">
        <f t="shared" si="0"/>
        <v>3938560</v>
      </c>
      <c r="L9" s="84">
        <v>1493114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8"/>
      <c r="AI9" s="88"/>
      <c r="AJ9" s="88"/>
      <c r="AK9" s="85"/>
      <c r="AL9" s="85"/>
      <c r="AM9" s="85"/>
      <c r="AN9" s="85"/>
      <c r="AO9" s="85"/>
      <c r="AP9" s="85"/>
      <c r="AQ9" s="7">
        <f t="shared" si="1"/>
        <v>3938560</v>
      </c>
      <c r="AR9" s="7">
        <f t="shared" si="2"/>
        <v>3938560</v>
      </c>
      <c r="AS9" s="7"/>
      <c r="AT9" s="8"/>
      <c r="AU9" s="8"/>
      <c r="AV9" s="8"/>
      <c r="AW9" s="8">
        <f t="shared" si="3"/>
        <v>3938560</v>
      </c>
      <c r="AX9" s="129">
        <f t="shared" si="4"/>
        <v>3938560</v>
      </c>
      <c r="AY9" s="61">
        <f t="shared" si="5"/>
        <v>1600116</v>
      </c>
    </row>
    <row r="10" spans="1:54" x14ac:dyDescent="0.25">
      <c r="A10" s="11" t="s">
        <v>22</v>
      </c>
      <c r="B10" s="5" t="s">
        <v>77</v>
      </c>
      <c r="C10" s="6" t="s">
        <v>219</v>
      </c>
      <c r="D10" s="85"/>
      <c r="E10" s="110"/>
      <c r="F10" s="110"/>
      <c r="G10" s="85"/>
      <c r="H10" s="85"/>
      <c r="I10" s="85"/>
      <c r="J10" s="88"/>
      <c r="K10" s="88">
        <f>244814</f>
        <v>244814</v>
      </c>
      <c r="L10" s="88">
        <v>244814</v>
      </c>
      <c r="M10" s="85"/>
      <c r="N10" s="85"/>
      <c r="O10" s="85"/>
      <c r="P10" s="85"/>
      <c r="Q10" s="85"/>
      <c r="R10" s="85"/>
      <c r="S10" s="85">
        <v>4514570</v>
      </c>
      <c r="T10" s="85">
        <f>6181553+S10</f>
        <v>10696123</v>
      </c>
      <c r="U10" s="85">
        <v>10696123</v>
      </c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8"/>
      <c r="AI10" s="88"/>
      <c r="AJ10" s="88"/>
      <c r="AK10" s="85">
        <v>21732794</v>
      </c>
      <c r="AL10" s="85">
        <f>AK10+2586637</f>
        <v>24319431</v>
      </c>
      <c r="AM10" s="85">
        <v>24319431</v>
      </c>
      <c r="AN10" s="85"/>
      <c r="AO10" s="85"/>
      <c r="AP10" s="85"/>
      <c r="AQ10" s="7">
        <f t="shared" si="1"/>
        <v>26247364</v>
      </c>
      <c r="AR10" s="7">
        <f t="shared" si="2"/>
        <v>35260368</v>
      </c>
      <c r="AS10" s="7"/>
      <c r="AT10" s="8"/>
      <c r="AU10" s="8"/>
      <c r="AV10" s="8"/>
      <c r="AW10" s="8">
        <f t="shared" si="3"/>
        <v>26247364</v>
      </c>
      <c r="AX10" s="129">
        <f t="shared" si="4"/>
        <v>35260368</v>
      </c>
      <c r="AY10" s="61">
        <f t="shared" si="5"/>
        <v>35260368</v>
      </c>
    </row>
    <row r="11" spans="1:54" x14ac:dyDescent="0.25">
      <c r="A11" s="11" t="s">
        <v>24</v>
      </c>
      <c r="B11" s="5" t="s">
        <v>77</v>
      </c>
      <c r="C11" s="6" t="s">
        <v>191</v>
      </c>
      <c r="D11" s="85"/>
      <c r="E11" s="110"/>
      <c r="F11" s="110"/>
      <c r="G11" s="85"/>
      <c r="H11" s="85"/>
      <c r="I11" s="85"/>
      <c r="J11" s="88"/>
      <c r="K11" s="88"/>
      <c r="L11" s="88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8"/>
      <c r="AI11" s="88"/>
      <c r="AJ11" s="88"/>
      <c r="AK11" s="85"/>
      <c r="AL11" s="85"/>
      <c r="AM11" s="85"/>
      <c r="AN11" s="85"/>
      <c r="AO11" s="85"/>
      <c r="AP11" s="85"/>
      <c r="AQ11" s="7">
        <f t="shared" si="1"/>
        <v>0</v>
      </c>
      <c r="AR11" s="7">
        <f t="shared" si="2"/>
        <v>0</v>
      </c>
      <c r="AS11" s="7"/>
      <c r="AT11" s="328">
        <f ca="1">'2.melléklet.Önkormányzat.és int'!AH44</f>
        <v>486765868</v>
      </c>
      <c r="AU11" s="8">
        <f ca="1">1115300+11470600+AT11</f>
        <v>499351768</v>
      </c>
      <c r="AV11" s="8">
        <v>238225806</v>
      </c>
      <c r="AW11" s="8">
        <f t="shared" ca="1" si="3"/>
        <v>486765868</v>
      </c>
      <c r="AX11" s="129">
        <f t="shared" ca="1" si="4"/>
        <v>499351768</v>
      </c>
      <c r="AY11" s="61">
        <f t="shared" si="5"/>
        <v>238225806</v>
      </c>
    </row>
    <row r="12" spans="1:54" x14ac:dyDescent="0.25">
      <c r="A12" s="11" t="s">
        <v>25</v>
      </c>
      <c r="B12" s="5" t="s">
        <v>78</v>
      </c>
      <c r="C12" s="6" t="s">
        <v>192</v>
      </c>
      <c r="D12" s="85"/>
      <c r="E12" s="110"/>
      <c r="F12" s="110"/>
      <c r="G12" s="85"/>
      <c r="H12" s="85"/>
      <c r="I12" s="85"/>
      <c r="J12" s="88"/>
      <c r="K12" s="88"/>
      <c r="L12" s="88"/>
      <c r="M12" s="85"/>
      <c r="N12" s="85"/>
      <c r="O12" s="85"/>
      <c r="P12" s="85">
        <v>3300000</v>
      </c>
      <c r="Q12" s="85">
        <f>P12</f>
        <v>3300000</v>
      </c>
      <c r="R12" s="85">
        <v>3126134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8"/>
      <c r="AI12" s="88"/>
      <c r="AJ12" s="88"/>
      <c r="AK12" s="85"/>
      <c r="AL12" s="85"/>
      <c r="AM12" s="85"/>
      <c r="AN12" s="85"/>
      <c r="AO12" s="85"/>
      <c r="AP12" s="85"/>
      <c r="AQ12" s="7">
        <f t="shared" si="1"/>
        <v>3300000</v>
      </c>
      <c r="AR12" s="7">
        <f t="shared" si="2"/>
        <v>3300000</v>
      </c>
      <c r="AS12" s="7"/>
      <c r="AT12" s="8"/>
      <c r="AU12" s="8"/>
      <c r="AV12" s="8"/>
      <c r="AW12" s="8">
        <f t="shared" si="3"/>
        <v>3300000</v>
      </c>
      <c r="AX12" s="129">
        <f t="shared" si="4"/>
        <v>3300000</v>
      </c>
      <c r="AY12" s="61">
        <f t="shared" si="5"/>
        <v>3126134</v>
      </c>
    </row>
    <row r="13" spans="1:54" ht="20.25" customHeight="1" x14ac:dyDescent="0.25">
      <c r="A13" s="11" t="s">
        <v>26</v>
      </c>
      <c r="B13" s="5" t="s">
        <v>77</v>
      </c>
      <c r="C13" s="35" t="s">
        <v>193</v>
      </c>
      <c r="D13" s="85"/>
      <c r="E13" s="110"/>
      <c r="F13" s="110"/>
      <c r="G13" s="85"/>
      <c r="H13" s="85"/>
      <c r="I13" s="85"/>
      <c r="J13" s="88"/>
      <c r="K13" s="88"/>
      <c r="L13" s="88"/>
      <c r="M13" s="85"/>
      <c r="N13" s="85"/>
      <c r="O13" s="85"/>
      <c r="P13" s="85"/>
      <c r="Q13" s="85"/>
      <c r="R13" s="85"/>
      <c r="S13" s="85">
        <f>7824600+50000</f>
        <v>7874600</v>
      </c>
      <c r="T13" s="85">
        <f>S13</f>
        <v>7874600</v>
      </c>
      <c r="U13" s="85">
        <v>6562159</v>
      </c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8"/>
      <c r="AI13" s="88"/>
      <c r="AJ13" s="88"/>
      <c r="AK13" s="85"/>
      <c r="AL13" s="85"/>
      <c r="AM13" s="85"/>
      <c r="AN13" s="85"/>
      <c r="AO13" s="85"/>
      <c r="AP13" s="85"/>
      <c r="AQ13" s="7">
        <f t="shared" si="1"/>
        <v>7874600</v>
      </c>
      <c r="AR13" s="7">
        <f t="shared" si="2"/>
        <v>7874600</v>
      </c>
      <c r="AS13" s="7"/>
      <c r="AT13" s="8"/>
      <c r="AU13" s="8"/>
      <c r="AV13" s="8"/>
      <c r="AW13" s="8">
        <f t="shared" si="3"/>
        <v>7874600</v>
      </c>
      <c r="AX13" s="129">
        <f t="shared" si="4"/>
        <v>7874600</v>
      </c>
      <c r="AY13" s="61">
        <f t="shared" si="5"/>
        <v>6562159</v>
      </c>
      <c r="AZ13" s="22">
        <f>AY11+AY12+AY13</f>
        <v>247914099</v>
      </c>
    </row>
    <row r="14" spans="1:54" x14ac:dyDescent="0.25">
      <c r="A14" s="11" t="s">
        <v>29</v>
      </c>
      <c r="B14" s="5" t="s">
        <v>77</v>
      </c>
      <c r="C14" s="6" t="s">
        <v>194</v>
      </c>
      <c r="D14" s="85">
        <v>16365000</v>
      </c>
      <c r="E14" s="110">
        <f>29650000+D14</f>
        <v>46015000</v>
      </c>
      <c r="F14" s="110">
        <v>32222384</v>
      </c>
      <c r="G14" s="85">
        <v>1409788</v>
      </c>
      <c r="H14" s="85">
        <f>1927250+G14</f>
        <v>3337038</v>
      </c>
      <c r="I14" s="85">
        <v>2239875</v>
      </c>
      <c r="J14" s="88">
        <v>4173245</v>
      </c>
      <c r="K14" s="88">
        <f>J14+10000</f>
        <v>4183245</v>
      </c>
      <c r="L14" s="88">
        <v>957692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>
        <v>256900</v>
      </c>
      <c r="AE14" s="85"/>
      <c r="AF14" s="85"/>
      <c r="AG14" s="85"/>
      <c r="AH14" s="88"/>
      <c r="AI14" s="88"/>
      <c r="AJ14" s="88"/>
      <c r="AK14" s="85"/>
      <c r="AL14" s="85"/>
      <c r="AM14" s="85"/>
      <c r="AN14" s="85"/>
      <c r="AO14" s="85"/>
      <c r="AP14" s="85"/>
      <c r="AQ14" s="7">
        <f t="shared" si="1"/>
        <v>21948033</v>
      </c>
      <c r="AR14" s="7">
        <f t="shared" si="2"/>
        <v>53535283</v>
      </c>
      <c r="AS14" s="7"/>
      <c r="AT14" s="8"/>
      <c r="AU14" s="8"/>
      <c r="AV14" s="8"/>
      <c r="AW14" s="8">
        <f t="shared" si="3"/>
        <v>21948033</v>
      </c>
      <c r="AX14" s="129">
        <f t="shared" si="4"/>
        <v>53535283</v>
      </c>
      <c r="AY14" s="61">
        <f t="shared" si="5"/>
        <v>35676851</v>
      </c>
    </row>
    <row r="15" spans="1:54" x14ac:dyDescent="0.25">
      <c r="A15" s="11" t="s">
        <v>34</v>
      </c>
      <c r="B15" s="5" t="s">
        <v>78</v>
      </c>
      <c r="C15" s="6" t="s">
        <v>209</v>
      </c>
      <c r="D15" s="85"/>
      <c r="E15" s="110"/>
      <c r="F15" s="110"/>
      <c r="G15" s="85"/>
      <c r="H15" s="85"/>
      <c r="I15" s="85"/>
      <c r="J15" s="88">
        <v>7717600</v>
      </c>
      <c r="K15" s="88">
        <f t="shared" ref="K15:K17" si="6">J15</f>
        <v>7717600</v>
      </c>
      <c r="L15" s="88">
        <v>6325627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8"/>
      <c r="AI15" s="88"/>
      <c r="AJ15" s="88"/>
      <c r="AK15" s="85"/>
      <c r="AL15" s="85"/>
      <c r="AM15" s="85"/>
      <c r="AN15" s="85"/>
      <c r="AO15" s="85"/>
      <c r="AP15" s="85"/>
      <c r="AQ15" s="7">
        <f t="shared" si="1"/>
        <v>7717600</v>
      </c>
      <c r="AR15" s="7">
        <f t="shared" si="2"/>
        <v>7717600</v>
      </c>
      <c r="AS15" s="7"/>
      <c r="AT15" s="8"/>
      <c r="AU15" s="8"/>
      <c r="AV15" s="8"/>
      <c r="AW15" s="8">
        <f t="shared" si="3"/>
        <v>7717600</v>
      </c>
      <c r="AX15" s="129">
        <f t="shared" si="4"/>
        <v>7717600</v>
      </c>
      <c r="AY15" s="61">
        <f t="shared" si="5"/>
        <v>6325627</v>
      </c>
    </row>
    <row r="16" spans="1:54" x14ac:dyDescent="0.25">
      <c r="A16" s="11" t="s">
        <v>57</v>
      </c>
      <c r="B16" s="5" t="s">
        <v>77</v>
      </c>
      <c r="C16" s="6" t="s">
        <v>238</v>
      </c>
      <c r="D16" s="85">
        <v>750000</v>
      </c>
      <c r="E16" s="110">
        <f>D16</f>
        <v>750000</v>
      </c>
      <c r="F16" s="110">
        <v>369500</v>
      </c>
      <c r="G16" s="85">
        <v>97500</v>
      </c>
      <c r="H16" s="85">
        <f>G16</f>
        <v>97500</v>
      </c>
      <c r="I16" s="85">
        <v>5000</v>
      </c>
      <c r="J16" s="88">
        <v>5279075</v>
      </c>
      <c r="K16" s="88">
        <f t="shared" si="6"/>
        <v>5279075</v>
      </c>
      <c r="L16" s="88">
        <v>1240545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>
        <f>116086518+31343360</f>
        <v>147429878</v>
      </c>
      <c r="AD16" s="85">
        <v>147000</v>
      </c>
      <c r="AE16" s="85">
        <v>24280595</v>
      </c>
      <c r="AF16" s="85">
        <f>15747690+4251876+AE16</f>
        <v>44280161</v>
      </c>
      <c r="AG16" s="85">
        <v>47463378</v>
      </c>
      <c r="AH16" s="88"/>
      <c r="AI16" s="88"/>
      <c r="AJ16" s="88"/>
      <c r="AK16" s="85"/>
      <c r="AL16" s="85"/>
      <c r="AM16" s="85"/>
      <c r="AN16" s="85"/>
      <c r="AO16" s="85"/>
      <c r="AP16" s="85"/>
      <c r="AQ16" s="7">
        <f t="shared" si="1"/>
        <v>30407170</v>
      </c>
      <c r="AR16" s="7">
        <f t="shared" si="2"/>
        <v>197836614</v>
      </c>
      <c r="AS16" s="7"/>
      <c r="AT16" s="8"/>
      <c r="AU16" s="8"/>
      <c r="AV16" s="8"/>
      <c r="AW16" s="8">
        <f t="shared" si="3"/>
        <v>30407170</v>
      </c>
      <c r="AX16" s="129">
        <f t="shared" si="4"/>
        <v>197836614</v>
      </c>
      <c r="AY16" s="61">
        <f t="shared" si="5"/>
        <v>49225423</v>
      </c>
    </row>
    <row r="17" spans="1:51" x14ac:dyDescent="0.25">
      <c r="A17" s="11" t="s">
        <v>38</v>
      </c>
      <c r="B17" s="5" t="s">
        <v>78</v>
      </c>
      <c r="C17" s="35" t="s">
        <v>361</v>
      </c>
      <c r="D17" s="85"/>
      <c r="E17" s="110"/>
      <c r="F17" s="110"/>
      <c r="G17" s="85"/>
      <c r="H17" s="85"/>
      <c r="I17" s="85"/>
      <c r="J17" s="88">
        <v>6176636</v>
      </c>
      <c r="K17" s="88">
        <f t="shared" si="6"/>
        <v>6176636</v>
      </c>
      <c r="L17" s="88">
        <v>243945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8"/>
      <c r="AI17" s="88"/>
      <c r="AJ17" s="88"/>
      <c r="AK17" s="85"/>
      <c r="AL17" s="85"/>
      <c r="AM17" s="85"/>
      <c r="AN17" s="85"/>
      <c r="AO17" s="85"/>
      <c r="AP17" s="85"/>
      <c r="AQ17" s="7">
        <f t="shared" si="1"/>
        <v>6176636</v>
      </c>
      <c r="AR17" s="7">
        <f t="shared" si="2"/>
        <v>6176636</v>
      </c>
      <c r="AS17" s="7"/>
      <c r="AT17" s="8"/>
      <c r="AU17" s="8"/>
      <c r="AV17" s="8"/>
      <c r="AW17" s="8">
        <f t="shared" si="3"/>
        <v>6176636</v>
      </c>
      <c r="AX17" s="129">
        <f t="shared" si="4"/>
        <v>6176636</v>
      </c>
      <c r="AY17" s="61">
        <f t="shared" si="5"/>
        <v>243945</v>
      </c>
    </row>
    <row r="18" spans="1:51" x14ac:dyDescent="0.25">
      <c r="A18" s="11" t="s">
        <v>130</v>
      </c>
      <c r="B18" s="5" t="s">
        <v>77</v>
      </c>
      <c r="C18" s="35" t="s">
        <v>210</v>
      </c>
      <c r="D18" s="85"/>
      <c r="E18" s="110"/>
      <c r="F18" s="110"/>
      <c r="G18" s="85"/>
      <c r="H18" s="85"/>
      <c r="I18" s="85"/>
      <c r="J18" s="88"/>
      <c r="K18" s="88"/>
      <c r="L18" s="88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8"/>
      <c r="AI18" s="88"/>
      <c r="AJ18" s="88"/>
      <c r="AK18" s="85"/>
      <c r="AL18" s="85"/>
      <c r="AM18" s="85"/>
      <c r="AN18" s="85"/>
      <c r="AO18" s="85"/>
      <c r="AP18" s="85"/>
      <c r="AQ18" s="7">
        <f t="shared" si="1"/>
        <v>0</v>
      </c>
      <c r="AR18" s="7">
        <f t="shared" si="2"/>
        <v>0</v>
      </c>
      <c r="AS18" s="7"/>
      <c r="AT18" s="8"/>
      <c r="AU18" s="8"/>
      <c r="AV18" s="8"/>
      <c r="AW18" s="8">
        <f t="shared" si="3"/>
        <v>0</v>
      </c>
      <c r="AX18" s="129">
        <f t="shared" si="4"/>
        <v>0</v>
      </c>
      <c r="AY18" s="61">
        <f t="shared" si="5"/>
        <v>0</v>
      </c>
    </row>
    <row r="19" spans="1:51" ht="25.5" x14ac:dyDescent="0.25">
      <c r="A19" s="11" t="s">
        <v>131</v>
      </c>
      <c r="B19" s="5" t="s">
        <v>77</v>
      </c>
      <c r="C19" s="35" t="s">
        <v>195</v>
      </c>
      <c r="D19" s="85"/>
      <c r="E19" s="110"/>
      <c r="F19" s="110"/>
      <c r="G19" s="85"/>
      <c r="H19" s="85"/>
      <c r="I19" s="85"/>
      <c r="J19" s="88"/>
      <c r="K19" s="88"/>
      <c r="L19" s="88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8"/>
      <c r="AI19" s="88"/>
      <c r="AJ19" s="88"/>
      <c r="AK19" s="85"/>
      <c r="AL19" s="85"/>
      <c r="AM19" s="85"/>
      <c r="AN19" s="85"/>
      <c r="AO19" s="85"/>
      <c r="AP19" s="85"/>
      <c r="AQ19" s="7">
        <f t="shared" si="1"/>
        <v>0</v>
      </c>
      <c r="AR19" s="7">
        <f t="shared" si="2"/>
        <v>0</v>
      </c>
      <c r="AS19" s="7"/>
      <c r="AT19" s="8"/>
      <c r="AU19" s="8"/>
      <c r="AV19" s="8"/>
      <c r="AW19" s="8">
        <f t="shared" si="3"/>
        <v>0</v>
      </c>
      <c r="AX19" s="129">
        <f t="shared" si="4"/>
        <v>0</v>
      </c>
      <c r="AY19" s="61">
        <f t="shared" si="5"/>
        <v>0</v>
      </c>
    </row>
    <row r="20" spans="1:51" x14ac:dyDescent="0.25">
      <c r="A20" s="11" t="s">
        <v>133</v>
      </c>
      <c r="B20" s="5" t="s">
        <v>78</v>
      </c>
      <c r="C20" s="35" t="s">
        <v>362</v>
      </c>
      <c r="D20" s="85"/>
      <c r="E20" s="110"/>
      <c r="F20" s="110"/>
      <c r="G20" s="85"/>
      <c r="H20" s="85"/>
      <c r="I20" s="85"/>
      <c r="J20" s="88"/>
      <c r="K20" s="88"/>
      <c r="L20" s="88">
        <v>715800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>
        <v>60037795</v>
      </c>
      <c r="AC20" s="85">
        <f>AB20</f>
        <v>60037795</v>
      </c>
      <c r="AD20" s="85">
        <v>32937060</v>
      </c>
      <c r="AE20" s="85">
        <v>35999941</v>
      </c>
      <c r="AF20" s="85">
        <f>7874013+2125983+AE20</f>
        <v>45999937</v>
      </c>
      <c r="AG20" s="85">
        <v>150199</v>
      </c>
      <c r="AH20" s="88"/>
      <c r="AI20" s="88"/>
      <c r="AJ20" s="88"/>
      <c r="AK20" s="85"/>
      <c r="AL20" s="85"/>
      <c r="AM20" s="85"/>
      <c r="AN20" s="85"/>
      <c r="AO20" s="85"/>
      <c r="AP20" s="85"/>
      <c r="AQ20" s="7">
        <f t="shared" si="1"/>
        <v>96037736</v>
      </c>
      <c r="AR20" s="7">
        <f t="shared" si="2"/>
        <v>106037732</v>
      </c>
      <c r="AS20" s="7"/>
      <c r="AT20" s="8"/>
      <c r="AU20" s="8"/>
      <c r="AV20" s="8"/>
      <c r="AW20" s="8">
        <f t="shared" si="3"/>
        <v>96037736</v>
      </c>
      <c r="AX20" s="129">
        <f t="shared" si="4"/>
        <v>106037732</v>
      </c>
      <c r="AY20" s="61">
        <f t="shared" si="5"/>
        <v>33803059</v>
      </c>
    </row>
    <row r="21" spans="1:51" x14ac:dyDescent="0.25">
      <c r="A21" s="11"/>
      <c r="B21" s="5" t="s">
        <v>77</v>
      </c>
      <c r="C21" s="35" t="s">
        <v>239</v>
      </c>
      <c r="D21" s="85"/>
      <c r="E21" s="110"/>
      <c r="F21" s="110"/>
      <c r="G21" s="85"/>
      <c r="H21" s="85"/>
      <c r="I21" s="85"/>
      <c r="J21" s="88">
        <v>5271400</v>
      </c>
      <c r="K21" s="88">
        <f>J21</f>
        <v>5271400</v>
      </c>
      <c r="L21" s="88">
        <v>224479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>
        <v>1443023</v>
      </c>
      <c r="AF21" s="85">
        <f>AE21</f>
        <v>1443023</v>
      </c>
      <c r="AG21" s="85"/>
      <c r="AH21" s="88"/>
      <c r="AI21" s="88"/>
      <c r="AJ21" s="88"/>
      <c r="AK21" s="85"/>
      <c r="AL21" s="85"/>
      <c r="AM21" s="85"/>
      <c r="AN21" s="85"/>
      <c r="AO21" s="85"/>
      <c r="AP21" s="85"/>
      <c r="AQ21" s="7">
        <f t="shared" si="1"/>
        <v>6714423</v>
      </c>
      <c r="AR21" s="7">
        <f t="shared" si="2"/>
        <v>6714423</v>
      </c>
      <c r="AS21" s="7"/>
      <c r="AT21" s="8"/>
      <c r="AU21" s="8"/>
      <c r="AV21" s="8"/>
      <c r="AW21" s="8">
        <f t="shared" si="3"/>
        <v>6714423</v>
      </c>
      <c r="AX21" s="129">
        <f t="shared" si="4"/>
        <v>6714423</v>
      </c>
      <c r="AY21" s="61">
        <f t="shared" si="5"/>
        <v>224479</v>
      </c>
    </row>
    <row r="22" spans="1:51" x14ac:dyDescent="0.25">
      <c r="A22" s="11" t="s">
        <v>140</v>
      </c>
      <c r="B22" s="5" t="s">
        <v>77</v>
      </c>
      <c r="C22" s="35" t="s">
        <v>196</v>
      </c>
      <c r="D22" s="85"/>
      <c r="E22" s="110"/>
      <c r="F22" s="110"/>
      <c r="G22" s="85"/>
      <c r="H22" s="85"/>
      <c r="I22" s="85"/>
      <c r="J22" s="88">
        <v>13328650</v>
      </c>
      <c r="K22" s="88">
        <f t="shared" ref="K22:K25" si="7">J22</f>
        <v>13328650</v>
      </c>
      <c r="L22" s="88">
        <v>6852898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>
        <v>4635350</v>
      </c>
      <c r="AF22" s="85">
        <f>AE22</f>
        <v>4635350</v>
      </c>
      <c r="AG22" s="85"/>
      <c r="AH22" s="88"/>
      <c r="AI22" s="88"/>
      <c r="AJ22" s="88"/>
      <c r="AK22" s="85"/>
      <c r="AL22" s="85"/>
      <c r="AM22" s="85"/>
      <c r="AN22" s="85"/>
      <c r="AO22" s="85"/>
      <c r="AP22" s="85"/>
      <c r="AQ22" s="7">
        <f t="shared" si="1"/>
        <v>17964000</v>
      </c>
      <c r="AR22" s="7">
        <f t="shared" si="2"/>
        <v>17964000</v>
      </c>
      <c r="AS22" s="7"/>
      <c r="AT22" s="8"/>
      <c r="AU22" s="8"/>
      <c r="AV22" s="8"/>
      <c r="AW22" s="8">
        <f t="shared" si="3"/>
        <v>17964000</v>
      </c>
      <c r="AX22" s="129">
        <f t="shared" si="4"/>
        <v>17964000</v>
      </c>
      <c r="AY22" s="61">
        <f t="shared" si="5"/>
        <v>6852898</v>
      </c>
    </row>
    <row r="23" spans="1:51" x14ac:dyDescent="0.25">
      <c r="A23" s="11" t="s">
        <v>141</v>
      </c>
      <c r="B23" s="5" t="s">
        <v>78</v>
      </c>
      <c r="C23" s="35" t="s">
        <v>211</v>
      </c>
      <c r="D23" s="85"/>
      <c r="E23" s="110"/>
      <c r="F23" s="110"/>
      <c r="G23" s="85"/>
      <c r="H23" s="85"/>
      <c r="I23" s="85"/>
      <c r="J23" s="88">
        <v>3114421</v>
      </c>
      <c r="K23" s="88">
        <f t="shared" si="7"/>
        <v>3114421</v>
      </c>
      <c r="L23" s="88">
        <v>1214592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8"/>
      <c r="AI23" s="88"/>
      <c r="AJ23" s="88"/>
      <c r="AK23" s="85"/>
      <c r="AL23" s="85"/>
      <c r="AM23" s="85"/>
      <c r="AN23" s="85"/>
      <c r="AO23" s="85"/>
      <c r="AP23" s="85"/>
      <c r="AQ23" s="7">
        <f t="shared" si="1"/>
        <v>3114421</v>
      </c>
      <c r="AR23" s="7">
        <f t="shared" si="2"/>
        <v>3114421</v>
      </c>
      <c r="AS23" s="7"/>
      <c r="AT23" s="8"/>
      <c r="AU23" s="8"/>
      <c r="AV23" s="8"/>
      <c r="AW23" s="8">
        <f t="shared" si="3"/>
        <v>3114421</v>
      </c>
      <c r="AX23" s="129">
        <f t="shared" si="4"/>
        <v>3114421</v>
      </c>
      <c r="AY23" s="61">
        <f t="shared" si="5"/>
        <v>1214592</v>
      </c>
    </row>
    <row r="24" spans="1:51" ht="21.75" customHeight="1" x14ac:dyDescent="0.25">
      <c r="A24" s="11" t="s">
        <v>142</v>
      </c>
      <c r="B24" s="5" t="s">
        <v>77</v>
      </c>
      <c r="C24" s="35" t="s">
        <v>197</v>
      </c>
      <c r="D24" s="85">
        <v>11968550</v>
      </c>
      <c r="E24" s="110">
        <f>D24</f>
        <v>11968550</v>
      </c>
      <c r="F24" s="110">
        <v>4220710</v>
      </c>
      <c r="G24" s="85">
        <v>1317682</v>
      </c>
      <c r="H24" s="85">
        <f>G24</f>
        <v>1317682</v>
      </c>
      <c r="I24" s="85">
        <v>461310</v>
      </c>
      <c r="J24" s="88">
        <v>37708922</v>
      </c>
      <c r="K24" s="88">
        <f t="shared" si="7"/>
        <v>37708922</v>
      </c>
      <c r="L24" s="88">
        <f>48636+13601292</f>
        <v>13649928</v>
      </c>
      <c r="M24" s="85"/>
      <c r="N24" s="85"/>
      <c r="O24" s="85"/>
      <c r="P24" s="85"/>
      <c r="Q24" s="85"/>
      <c r="R24" s="85">
        <v>514305</v>
      </c>
      <c r="S24" s="85"/>
      <c r="T24" s="85"/>
      <c r="U24" s="85"/>
      <c r="V24" s="85">
        <v>5000000</v>
      </c>
      <c r="W24" s="85">
        <f>V24</f>
        <v>5000000</v>
      </c>
      <c r="X24" s="85">
        <v>1600000</v>
      </c>
      <c r="Y24" s="85"/>
      <c r="Z24" s="85"/>
      <c r="AA24" s="85"/>
      <c r="AB24" s="85">
        <v>14096093</v>
      </c>
      <c r="AC24" s="85">
        <f>814500+219915+AB24</f>
        <v>15130508</v>
      </c>
      <c r="AD24" s="85">
        <v>1441215</v>
      </c>
      <c r="AE24" s="85">
        <v>12000000</v>
      </c>
      <c r="AF24" s="85">
        <f>AE24</f>
        <v>12000000</v>
      </c>
      <c r="AG24" s="85"/>
      <c r="AH24" s="88">
        <v>142901586</v>
      </c>
      <c r="AI24" s="88">
        <f>-6500216+AH24-30161520</f>
        <v>106239850</v>
      </c>
      <c r="AJ24" s="88"/>
      <c r="AK24" s="85"/>
      <c r="AL24" s="85"/>
      <c r="AM24" s="85"/>
      <c r="AN24" s="85"/>
      <c r="AO24" s="85"/>
      <c r="AP24" s="85"/>
      <c r="AQ24" s="7">
        <f>D24+G24+J24+M24+P24+S24+V24+Y24+AB24+AE24+AH24+AK24+AN24</f>
        <v>224992833</v>
      </c>
      <c r="AR24" s="7">
        <f>E24+H24+K24+N24+Q24+T24+W24+Z24+AC24+AF24+AI24+AL24+AO24</f>
        <v>189365512</v>
      </c>
      <c r="AS24" s="7"/>
      <c r="AT24" s="8"/>
      <c r="AU24" s="8"/>
      <c r="AV24" s="8"/>
      <c r="AW24" s="8">
        <f t="shared" si="3"/>
        <v>224992833</v>
      </c>
      <c r="AX24" s="129">
        <f t="shared" si="4"/>
        <v>189365512</v>
      </c>
      <c r="AY24" s="61">
        <f>F24+I24+L24+O24+R24+U24+X24+AA24+AD24+AG24+AJ24+AM24+AP24+AS24+AV24</f>
        <v>21887468</v>
      </c>
    </row>
    <row r="25" spans="1:51" x14ac:dyDescent="0.25">
      <c r="A25" s="11" t="s">
        <v>144</v>
      </c>
      <c r="B25" s="5" t="s">
        <v>77</v>
      </c>
      <c r="C25" s="6" t="s">
        <v>198</v>
      </c>
      <c r="D25" s="85"/>
      <c r="E25" s="110"/>
      <c r="F25" s="110"/>
      <c r="G25" s="85"/>
      <c r="H25" s="85"/>
      <c r="I25" s="85"/>
      <c r="J25" s="88">
        <v>1975510</v>
      </c>
      <c r="K25" s="88">
        <f t="shared" si="7"/>
        <v>1975510</v>
      </c>
      <c r="L25" s="88">
        <v>1422129</v>
      </c>
      <c r="M25" s="88"/>
      <c r="N25" s="88"/>
      <c r="O25" s="88"/>
      <c r="P25" s="88"/>
      <c r="Q25" s="88"/>
      <c r="R25" s="88"/>
      <c r="S25" s="88"/>
      <c r="T25" s="88"/>
      <c r="U25" s="88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7">
        <f t="shared" si="1"/>
        <v>1975510</v>
      </c>
      <c r="AR25" s="7">
        <f t="shared" si="2"/>
        <v>1975510</v>
      </c>
      <c r="AS25" s="7"/>
      <c r="AT25" s="8"/>
      <c r="AU25" s="8"/>
      <c r="AV25" s="8"/>
      <c r="AW25" s="8">
        <f t="shared" si="3"/>
        <v>1975510</v>
      </c>
      <c r="AX25" s="129">
        <f t="shared" si="4"/>
        <v>1975510</v>
      </c>
      <c r="AY25" s="61">
        <f t="shared" si="5"/>
        <v>1422129</v>
      </c>
    </row>
    <row r="26" spans="1:51" x14ac:dyDescent="0.25">
      <c r="A26" s="11" t="s">
        <v>145</v>
      </c>
      <c r="B26" s="5" t="s">
        <v>77</v>
      </c>
      <c r="C26" s="6" t="s">
        <v>212</v>
      </c>
      <c r="D26" s="85">
        <v>1681500</v>
      </c>
      <c r="E26" s="110">
        <f>D26</f>
        <v>1681500</v>
      </c>
      <c r="F26" s="110">
        <v>759500</v>
      </c>
      <c r="G26" s="85">
        <v>219773</v>
      </c>
      <c r="H26" s="85">
        <f>G26</f>
        <v>219773</v>
      </c>
      <c r="I26" s="85">
        <v>101473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7">
        <f t="shared" si="1"/>
        <v>1901273</v>
      </c>
      <c r="AR26" s="7">
        <f t="shared" si="2"/>
        <v>1901273</v>
      </c>
      <c r="AS26" s="7"/>
      <c r="AT26" s="8"/>
      <c r="AU26" s="8"/>
      <c r="AV26" s="8"/>
      <c r="AW26" s="8">
        <f t="shared" si="3"/>
        <v>1901273</v>
      </c>
      <c r="AX26" s="129">
        <f t="shared" si="4"/>
        <v>1901273</v>
      </c>
      <c r="AY26" s="61">
        <f t="shared" si="5"/>
        <v>860973</v>
      </c>
    </row>
    <row r="27" spans="1:51" x14ac:dyDescent="0.25">
      <c r="A27" s="11" t="s">
        <v>146</v>
      </c>
      <c r="B27" s="5" t="s">
        <v>77</v>
      </c>
      <c r="C27" s="6" t="s">
        <v>213</v>
      </c>
      <c r="D27" s="85">
        <v>14239825</v>
      </c>
      <c r="E27" s="110">
        <f>D27</f>
        <v>14239825</v>
      </c>
      <c r="F27" s="110">
        <v>6475122</v>
      </c>
      <c r="G27" s="85">
        <v>2004327</v>
      </c>
      <c r="H27" s="85">
        <f>G27</f>
        <v>2004327</v>
      </c>
      <c r="I27" s="85">
        <v>861763</v>
      </c>
      <c r="J27" s="88">
        <v>1996029</v>
      </c>
      <c r="K27" s="88">
        <f>J27</f>
        <v>1996029</v>
      </c>
      <c r="L27" s="88">
        <v>1067334</v>
      </c>
      <c r="M27" s="88"/>
      <c r="N27" s="88"/>
      <c r="O27" s="88"/>
      <c r="P27" s="88"/>
      <c r="Q27" s="88"/>
      <c r="R27" s="88"/>
      <c r="S27" s="88"/>
      <c r="T27" s="88"/>
      <c r="U27" s="88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7">
        <f t="shared" si="1"/>
        <v>18240181</v>
      </c>
      <c r="AR27" s="7">
        <f t="shared" si="2"/>
        <v>18240181</v>
      </c>
      <c r="AS27" s="7"/>
      <c r="AT27" s="8"/>
      <c r="AU27" s="8"/>
      <c r="AV27" s="8"/>
      <c r="AW27" s="8">
        <f t="shared" si="3"/>
        <v>18240181</v>
      </c>
      <c r="AX27" s="129">
        <f t="shared" si="4"/>
        <v>18240181</v>
      </c>
      <c r="AY27" s="61">
        <f t="shared" si="5"/>
        <v>8404219</v>
      </c>
    </row>
    <row r="28" spans="1:51" x14ac:dyDescent="0.25">
      <c r="A28" s="11" t="s">
        <v>147</v>
      </c>
      <c r="B28" s="5" t="s">
        <v>77</v>
      </c>
      <c r="C28" s="6" t="s">
        <v>214</v>
      </c>
      <c r="D28" s="85"/>
      <c r="E28" s="110"/>
      <c r="F28" s="110"/>
      <c r="G28" s="85"/>
      <c r="H28" s="85"/>
      <c r="I28" s="85"/>
      <c r="J28" s="88"/>
      <c r="K28" s="88"/>
      <c r="L28" s="88"/>
      <c r="M28" s="88"/>
      <c r="N28" s="88"/>
      <c r="O28" s="88"/>
      <c r="P28" s="88">
        <v>247000</v>
      </c>
      <c r="Q28" s="88">
        <f>P28</f>
        <v>247000</v>
      </c>
      <c r="R28" s="88">
        <v>133000</v>
      </c>
      <c r="S28" s="88"/>
      <c r="T28" s="88"/>
      <c r="U28" s="88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7">
        <f t="shared" si="1"/>
        <v>247000</v>
      </c>
      <c r="AR28" s="7">
        <f t="shared" si="2"/>
        <v>247000</v>
      </c>
      <c r="AS28" s="7"/>
      <c r="AT28" s="8"/>
      <c r="AU28" s="8"/>
      <c r="AV28" s="8"/>
      <c r="AW28" s="8">
        <f t="shared" si="3"/>
        <v>247000</v>
      </c>
      <c r="AX28" s="129">
        <f t="shared" si="4"/>
        <v>247000</v>
      </c>
      <c r="AY28" s="61">
        <f t="shared" si="5"/>
        <v>133000</v>
      </c>
    </row>
    <row r="29" spans="1:51" x14ac:dyDescent="0.25">
      <c r="A29" s="11" t="s">
        <v>148</v>
      </c>
      <c r="B29" s="5" t="s">
        <v>78</v>
      </c>
      <c r="C29" s="6" t="s">
        <v>215</v>
      </c>
      <c r="D29" s="85"/>
      <c r="E29" s="110"/>
      <c r="F29" s="110"/>
      <c r="G29" s="85"/>
      <c r="H29" s="85"/>
      <c r="I29" s="85"/>
      <c r="J29" s="88">
        <v>284445</v>
      </c>
      <c r="K29" s="88">
        <f>J29</f>
        <v>284445</v>
      </c>
      <c r="L29" s="88">
        <v>155781</v>
      </c>
      <c r="M29" s="88"/>
      <c r="N29" s="88"/>
      <c r="O29" s="88"/>
      <c r="P29" s="88"/>
      <c r="Q29" s="88"/>
      <c r="R29" s="88"/>
      <c r="S29" s="88"/>
      <c r="T29" s="88"/>
      <c r="U29" s="88"/>
      <c r="V29" s="85"/>
      <c r="W29" s="85"/>
      <c r="X29" s="85"/>
      <c r="Y29" s="85"/>
      <c r="Z29" s="85"/>
      <c r="AA29" s="85"/>
      <c r="AB29" s="85"/>
      <c r="AC29" s="85"/>
      <c r="AD29" s="85">
        <v>91600</v>
      </c>
      <c r="AE29" s="85">
        <v>203110</v>
      </c>
      <c r="AF29" s="85">
        <f>AE29</f>
        <v>203110</v>
      </c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7">
        <f t="shared" si="1"/>
        <v>487555</v>
      </c>
      <c r="AR29" s="7">
        <f t="shared" si="2"/>
        <v>487555</v>
      </c>
      <c r="AS29" s="7"/>
      <c r="AT29" s="8"/>
      <c r="AU29" s="8"/>
      <c r="AV29" s="8"/>
      <c r="AW29" s="8">
        <f t="shared" si="3"/>
        <v>487555</v>
      </c>
      <c r="AX29" s="129">
        <f t="shared" si="4"/>
        <v>487555</v>
      </c>
      <c r="AY29" s="61">
        <f t="shared" si="5"/>
        <v>247381</v>
      </c>
    </row>
    <row r="30" spans="1:51" x14ac:dyDescent="0.25">
      <c r="A30" s="11" t="s">
        <v>149</v>
      </c>
      <c r="B30" s="5" t="s">
        <v>77</v>
      </c>
      <c r="C30" s="6" t="s">
        <v>217</v>
      </c>
      <c r="D30" s="85"/>
      <c r="E30" s="110"/>
      <c r="F30" s="110"/>
      <c r="G30" s="85"/>
      <c r="H30" s="85"/>
      <c r="I30" s="85"/>
      <c r="J30" s="88"/>
      <c r="K30" s="88"/>
      <c r="L30" s="88">
        <v>1417956</v>
      </c>
      <c r="M30" s="88"/>
      <c r="N30" s="88"/>
      <c r="O30" s="88"/>
      <c r="P30" s="88">
        <v>24578240</v>
      </c>
      <c r="Q30" s="88">
        <f>P30</f>
        <v>24578240</v>
      </c>
      <c r="R30" s="88">
        <v>12604240</v>
      </c>
      <c r="S30" s="88"/>
      <c r="T30" s="88"/>
      <c r="U30" s="88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7">
        <f t="shared" si="1"/>
        <v>24578240</v>
      </c>
      <c r="AR30" s="7">
        <f t="shared" si="2"/>
        <v>24578240</v>
      </c>
      <c r="AS30" s="7"/>
      <c r="AT30" s="8"/>
      <c r="AU30" s="8"/>
      <c r="AV30" s="8"/>
      <c r="AW30" s="8">
        <f t="shared" si="3"/>
        <v>24578240</v>
      </c>
      <c r="AX30" s="129">
        <f t="shared" si="4"/>
        <v>24578240</v>
      </c>
      <c r="AY30" s="61">
        <f t="shared" si="5"/>
        <v>14022196</v>
      </c>
    </row>
    <row r="31" spans="1:51" x14ac:dyDescent="0.25">
      <c r="A31" s="11" t="s">
        <v>150</v>
      </c>
      <c r="B31" s="5" t="s">
        <v>78</v>
      </c>
      <c r="C31" s="6" t="s">
        <v>216</v>
      </c>
      <c r="D31" s="85"/>
      <c r="E31" s="110"/>
      <c r="F31" s="110"/>
      <c r="G31" s="85"/>
      <c r="H31" s="85"/>
      <c r="I31" s="85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7">
        <f t="shared" si="1"/>
        <v>0</v>
      </c>
      <c r="AR31" s="7">
        <f t="shared" si="2"/>
        <v>0</v>
      </c>
      <c r="AS31" s="7"/>
      <c r="AT31" s="8"/>
      <c r="AU31" s="8"/>
      <c r="AV31" s="8"/>
      <c r="AW31" s="8">
        <f t="shared" si="3"/>
        <v>0</v>
      </c>
      <c r="AX31" s="129">
        <f t="shared" si="4"/>
        <v>0</v>
      </c>
      <c r="AY31" s="61">
        <f t="shared" si="5"/>
        <v>0</v>
      </c>
    </row>
    <row r="32" spans="1:51" x14ac:dyDescent="0.25">
      <c r="A32" s="11" t="s">
        <v>151</v>
      </c>
      <c r="B32" s="5" t="s">
        <v>77</v>
      </c>
      <c r="C32" s="6" t="s">
        <v>199</v>
      </c>
      <c r="D32" s="85"/>
      <c r="E32" s="110"/>
      <c r="F32" s="110"/>
      <c r="G32" s="85"/>
      <c r="H32" s="85"/>
      <c r="I32" s="85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7">
        <f t="shared" si="1"/>
        <v>0</v>
      </c>
      <c r="AR32" s="7">
        <f t="shared" si="2"/>
        <v>0</v>
      </c>
      <c r="AS32" s="7"/>
      <c r="AT32" s="8"/>
      <c r="AU32" s="8"/>
      <c r="AV32" s="8"/>
      <c r="AW32" s="8">
        <f t="shared" si="3"/>
        <v>0</v>
      </c>
      <c r="AX32" s="129">
        <f t="shared" si="4"/>
        <v>0</v>
      </c>
      <c r="AY32" s="61">
        <f t="shared" si="5"/>
        <v>0</v>
      </c>
    </row>
    <row r="33" spans="1:51" x14ac:dyDescent="0.25">
      <c r="A33" s="11" t="s">
        <v>152</v>
      </c>
      <c r="B33" s="5" t="s">
        <v>77</v>
      </c>
      <c r="C33" s="6" t="s">
        <v>200</v>
      </c>
      <c r="D33" s="85"/>
      <c r="E33" s="110"/>
      <c r="F33" s="110"/>
      <c r="G33" s="85"/>
      <c r="H33" s="85"/>
      <c r="I33" s="85"/>
      <c r="J33" s="88">
        <v>34185198</v>
      </c>
      <c r="K33" s="88">
        <f>J33</f>
        <v>34185198</v>
      </c>
      <c r="L33" s="88">
        <v>18330807</v>
      </c>
      <c r="M33" s="88"/>
      <c r="N33" s="88"/>
      <c r="O33" s="88"/>
      <c r="P33" s="88"/>
      <c r="Q33" s="88"/>
      <c r="R33" s="88"/>
      <c r="S33" s="88"/>
      <c r="T33" s="88"/>
      <c r="U33" s="88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7">
        <f t="shared" si="1"/>
        <v>34185198</v>
      </c>
      <c r="AR33" s="7">
        <f t="shared" si="2"/>
        <v>34185198</v>
      </c>
      <c r="AS33" s="7"/>
      <c r="AT33" s="8"/>
      <c r="AU33" s="8"/>
      <c r="AV33" s="8"/>
      <c r="AW33" s="8">
        <f t="shared" si="3"/>
        <v>34185198</v>
      </c>
      <c r="AX33" s="129">
        <f t="shared" si="4"/>
        <v>34185198</v>
      </c>
      <c r="AY33" s="61">
        <f t="shared" si="5"/>
        <v>18330807</v>
      </c>
    </row>
    <row r="34" spans="1:51" x14ac:dyDescent="0.25">
      <c r="A34" s="11" t="s">
        <v>153</v>
      </c>
      <c r="B34" s="5" t="s">
        <v>77</v>
      </c>
      <c r="C34" s="6" t="s">
        <v>220</v>
      </c>
      <c r="D34" s="85"/>
      <c r="E34" s="110"/>
      <c r="F34" s="110"/>
      <c r="G34" s="85"/>
      <c r="H34" s="85"/>
      <c r="I34" s="85"/>
      <c r="J34" s="88"/>
      <c r="K34" s="88">
        <v>30151520</v>
      </c>
      <c r="L34" s="88">
        <v>7582306</v>
      </c>
      <c r="M34" s="88"/>
      <c r="N34" s="88"/>
      <c r="O34" s="88"/>
      <c r="P34" s="88"/>
      <c r="Q34" s="88"/>
      <c r="R34" s="88"/>
      <c r="S34" s="88"/>
      <c r="T34" s="88"/>
      <c r="U34" s="88"/>
      <c r="V34" s="85"/>
      <c r="W34" s="85"/>
      <c r="X34" s="85"/>
      <c r="Y34" s="85"/>
      <c r="Z34" s="85"/>
      <c r="AA34" s="85"/>
      <c r="AB34" s="85">
        <v>141823811</v>
      </c>
      <c r="AC34" s="85">
        <f>AB34</f>
        <v>141823811</v>
      </c>
      <c r="AD34" s="85">
        <v>55836146</v>
      </c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7">
        <f t="shared" si="1"/>
        <v>141823811</v>
      </c>
      <c r="AR34" s="7">
        <f t="shared" si="2"/>
        <v>171975331</v>
      </c>
      <c r="AS34" s="7"/>
      <c r="AT34" s="8"/>
      <c r="AU34" s="8"/>
      <c r="AV34" s="8"/>
      <c r="AW34" s="8">
        <f t="shared" si="3"/>
        <v>141823811</v>
      </c>
      <c r="AX34" s="129">
        <f t="shared" si="4"/>
        <v>171975331</v>
      </c>
      <c r="AY34" s="61">
        <f>F34+I34+L34+O34+R34+U34+X34+AA34+AD34+AG34+AJ34+AM34+AP34+AS34+AV34</f>
        <v>63418452</v>
      </c>
    </row>
    <row r="35" spans="1:51" x14ac:dyDescent="0.25">
      <c r="A35" s="11" t="s">
        <v>154</v>
      </c>
      <c r="B35" s="5" t="s">
        <v>77</v>
      </c>
      <c r="C35" s="6" t="s">
        <v>201</v>
      </c>
      <c r="D35" s="85"/>
      <c r="E35" s="110"/>
      <c r="F35" s="110"/>
      <c r="G35" s="85"/>
      <c r="H35" s="85"/>
      <c r="I35" s="85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7">
        <f t="shared" si="1"/>
        <v>0</v>
      </c>
      <c r="AR35" s="7">
        <f t="shared" si="2"/>
        <v>0</v>
      </c>
      <c r="AS35" s="7"/>
      <c r="AT35" s="8"/>
      <c r="AU35" s="8"/>
      <c r="AV35" s="8"/>
      <c r="AW35" s="8">
        <f t="shared" si="3"/>
        <v>0</v>
      </c>
      <c r="AX35" s="129">
        <f t="shared" si="4"/>
        <v>0</v>
      </c>
      <c r="AY35" s="61">
        <f t="shared" si="5"/>
        <v>0</v>
      </c>
    </row>
    <row r="36" spans="1:51" x14ac:dyDescent="0.25">
      <c r="A36" s="11" t="s">
        <v>155</v>
      </c>
      <c r="B36" s="5" t="s">
        <v>77</v>
      </c>
      <c r="C36" s="6" t="s">
        <v>202</v>
      </c>
      <c r="D36" s="85"/>
      <c r="E36" s="110"/>
      <c r="F36" s="110"/>
      <c r="G36" s="85"/>
      <c r="H36" s="85"/>
      <c r="I36" s="85"/>
      <c r="J36" s="88">
        <v>657210</v>
      </c>
      <c r="K36" s="88">
        <f>J36</f>
        <v>657210</v>
      </c>
      <c r="L36" s="88">
        <v>10259</v>
      </c>
      <c r="M36" s="88"/>
      <c r="N36" s="88"/>
      <c r="O36" s="88"/>
      <c r="P36" s="88"/>
      <c r="Q36" s="88"/>
      <c r="R36" s="88"/>
      <c r="S36" s="88"/>
      <c r="T36" s="88"/>
      <c r="U36" s="88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7">
        <f t="shared" si="1"/>
        <v>657210</v>
      </c>
      <c r="AR36" s="7">
        <f t="shared" si="2"/>
        <v>657210</v>
      </c>
      <c r="AS36" s="7"/>
      <c r="AT36" s="8"/>
      <c r="AU36" s="8"/>
      <c r="AV36" s="8"/>
      <c r="AW36" s="8">
        <f t="shared" si="3"/>
        <v>657210</v>
      </c>
      <c r="AX36" s="129">
        <f t="shared" si="4"/>
        <v>657210</v>
      </c>
      <c r="AY36" s="61">
        <f t="shared" si="5"/>
        <v>10259</v>
      </c>
    </row>
    <row r="37" spans="1:51" x14ac:dyDescent="0.25">
      <c r="A37" s="11" t="s">
        <v>156</v>
      </c>
      <c r="B37" s="5" t="s">
        <v>77</v>
      </c>
      <c r="C37" s="6" t="s">
        <v>406</v>
      </c>
      <c r="D37" s="85"/>
      <c r="E37" s="110"/>
      <c r="F37" s="110"/>
      <c r="G37" s="85"/>
      <c r="H37" s="85"/>
      <c r="I37" s="85"/>
      <c r="J37" s="88"/>
      <c r="K37" s="88"/>
      <c r="L37" s="88"/>
      <c r="M37" s="88">
        <v>29231066</v>
      </c>
      <c r="N37" s="88">
        <f>M37</f>
        <v>29231066</v>
      </c>
      <c r="O37" s="88">
        <v>8695671</v>
      </c>
      <c r="P37" s="88"/>
      <c r="Q37" s="88"/>
      <c r="R37" s="88"/>
      <c r="S37" s="88"/>
      <c r="T37" s="88"/>
      <c r="U37" s="88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7">
        <f t="shared" si="1"/>
        <v>29231066</v>
      </c>
      <c r="AR37" s="7">
        <f t="shared" si="2"/>
        <v>29231066</v>
      </c>
      <c r="AS37" s="7"/>
      <c r="AT37" s="8"/>
      <c r="AU37" s="8"/>
      <c r="AV37" s="8"/>
      <c r="AW37" s="8">
        <f t="shared" si="3"/>
        <v>29231066</v>
      </c>
      <c r="AX37" s="129">
        <f t="shared" si="4"/>
        <v>29231066</v>
      </c>
      <c r="AY37" s="61">
        <f t="shared" si="5"/>
        <v>8695671</v>
      </c>
    </row>
    <row r="38" spans="1:51" x14ac:dyDescent="0.25">
      <c r="A38" s="11" t="s">
        <v>157</v>
      </c>
      <c r="B38" s="5" t="s">
        <v>77</v>
      </c>
      <c r="C38" s="6" t="s">
        <v>203</v>
      </c>
      <c r="D38" s="85"/>
      <c r="E38" s="110"/>
      <c r="F38" s="110"/>
      <c r="G38" s="85"/>
      <c r="H38" s="85"/>
      <c r="I38" s="85"/>
      <c r="J38" s="88"/>
      <c r="K38" s="88"/>
      <c r="L38" s="88"/>
      <c r="M38" s="88"/>
      <c r="N38" s="88"/>
      <c r="O38" s="88"/>
      <c r="P38" s="85"/>
      <c r="Q38" s="85"/>
      <c r="R38" s="85"/>
      <c r="S38" s="85"/>
      <c r="T38" s="85"/>
      <c r="U38" s="85"/>
      <c r="V38" s="88"/>
      <c r="W38" s="88"/>
      <c r="X38" s="88"/>
      <c r="Y38" s="88"/>
      <c r="Z38" s="88"/>
      <c r="AA38" s="88"/>
      <c r="AB38" s="85"/>
      <c r="AC38" s="85"/>
      <c r="AD38" s="85"/>
      <c r="AE38" s="90"/>
      <c r="AF38" s="85"/>
      <c r="AG38" s="85"/>
      <c r="AH38" s="7"/>
      <c r="AI38" s="85"/>
      <c r="AJ38" s="85"/>
      <c r="AK38" s="61"/>
      <c r="AL38" s="85"/>
      <c r="AM38" s="85"/>
      <c r="AN38" s="85"/>
      <c r="AO38" s="85"/>
      <c r="AP38" s="85"/>
      <c r="AQ38" s="7">
        <f t="shared" si="1"/>
        <v>0</v>
      </c>
      <c r="AR38" s="7">
        <f t="shared" si="2"/>
        <v>0</v>
      </c>
      <c r="AS38" s="7"/>
      <c r="AT38" s="8"/>
      <c r="AU38" s="8"/>
      <c r="AV38" s="8"/>
      <c r="AW38" s="8">
        <f t="shared" si="3"/>
        <v>0</v>
      </c>
      <c r="AX38" s="129">
        <f t="shared" si="4"/>
        <v>0</v>
      </c>
      <c r="AY38" s="61">
        <f t="shared" si="5"/>
        <v>0</v>
      </c>
    </row>
    <row r="39" spans="1:51" x14ac:dyDescent="0.25">
      <c r="A39" s="11" t="s">
        <v>158</v>
      </c>
      <c r="B39" s="5" t="s">
        <v>78</v>
      </c>
      <c r="C39" s="6" t="s">
        <v>218</v>
      </c>
      <c r="D39" s="85"/>
      <c r="E39" s="110"/>
      <c r="F39" s="110"/>
      <c r="G39" s="85"/>
      <c r="H39" s="85"/>
      <c r="I39" s="85"/>
      <c r="J39" s="88"/>
      <c r="K39" s="88"/>
      <c r="L39" s="88"/>
      <c r="M39" s="88"/>
      <c r="N39" s="88"/>
      <c r="O39" s="88"/>
      <c r="P39" s="85"/>
      <c r="Q39" s="85"/>
      <c r="R39" s="85"/>
      <c r="S39" s="85"/>
      <c r="T39" s="85"/>
      <c r="U39" s="85"/>
      <c r="V39" s="88"/>
      <c r="W39" s="88"/>
      <c r="X39" s="88"/>
      <c r="Y39" s="88"/>
      <c r="Z39" s="88"/>
      <c r="AA39" s="88"/>
      <c r="AB39" s="85"/>
      <c r="AC39" s="85"/>
      <c r="AD39" s="85"/>
      <c r="AE39" s="90"/>
      <c r="AF39" s="85"/>
      <c r="AG39" s="85"/>
      <c r="AH39" s="7"/>
      <c r="AI39" s="85"/>
      <c r="AJ39" s="85"/>
      <c r="AK39" s="61"/>
      <c r="AL39" s="85"/>
      <c r="AM39" s="85"/>
      <c r="AN39" s="85"/>
      <c r="AO39" s="85"/>
      <c r="AP39" s="85"/>
      <c r="AQ39" s="7">
        <f t="shared" si="1"/>
        <v>0</v>
      </c>
      <c r="AR39" s="7">
        <f t="shared" si="2"/>
        <v>0</v>
      </c>
      <c r="AS39" s="7"/>
      <c r="AT39" s="8"/>
      <c r="AU39" s="8"/>
      <c r="AV39" s="8"/>
      <c r="AW39" s="8">
        <f t="shared" si="3"/>
        <v>0</v>
      </c>
      <c r="AX39" s="129">
        <f t="shared" si="4"/>
        <v>0</v>
      </c>
      <c r="AY39" s="61">
        <f t="shared" si="5"/>
        <v>0</v>
      </c>
    </row>
    <row r="40" spans="1:51" x14ac:dyDescent="0.25">
      <c r="A40" s="11" t="s">
        <v>159</v>
      </c>
      <c r="B40" s="5" t="s">
        <v>77</v>
      </c>
      <c r="C40" s="6" t="s">
        <v>118</v>
      </c>
      <c r="D40" s="86"/>
      <c r="E40" s="99"/>
      <c r="F40" s="99"/>
      <c r="G40" s="86"/>
      <c r="H40" s="86"/>
      <c r="I40" s="86"/>
      <c r="J40" s="89"/>
      <c r="K40" s="89"/>
      <c r="L40" s="89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7">
        <f t="shared" si="1"/>
        <v>0</v>
      </c>
      <c r="AR40" s="7">
        <f t="shared" si="2"/>
        <v>0</v>
      </c>
      <c r="AS40" s="7"/>
      <c r="AT40" s="8"/>
      <c r="AU40" s="8"/>
      <c r="AV40" s="8"/>
      <c r="AW40" s="8">
        <f t="shared" si="3"/>
        <v>0</v>
      </c>
      <c r="AX40" s="129">
        <f t="shared" si="4"/>
        <v>0</v>
      </c>
      <c r="AY40" s="61">
        <f t="shared" si="5"/>
        <v>0</v>
      </c>
    </row>
    <row r="41" spans="1:51" x14ac:dyDescent="0.25">
      <c r="A41" s="11" t="s">
        <v>160</v>
      </c>
      <c r="B41" s="5" t="s">
        <v>78</v>
      </c>
      <c r="C41" s="6" t="s">
        <v>204</v>
      </c>
      <c r="D41" s="86"/>
      <c r="E41" s="99"/>
      <c r="F41" s="99"/>
      <c r="G41" s="86"/>
      <c r="H41" s="86"/>
      <c r="I41" s="86"/>
      <c r="J41" s="89"/>
      <c r="K41" s="89"/>
      <c r="L41" s="89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7">
        <f t="shared" si="1"/>
        <v>0</v>
      </c>
      <c r="AR41" s="7">
        <f t="shared" si="2"/>
        <v>0</v>
      </c>
      <c r="AS41" s="7"/>
      <c r="AT41" s="8"/>
      <c r="AU41" s="8"/>
      <c r="AV41" s="8"/>
      <c r="AW41" s="8">
        <f t="shared" si="3"/>
        <v>0</v>
      </c>
      <c r="AX41" s="129">
        <f t="shared" si="4"/>
        <v>0</v>
      </c>
      <c r="AY41" s="61">
        <f t="shared" si="5"/>
        <v>0</v>
      </c>
    </row>
    <row r="42" spans="1:51" ht="15.75" x14ac:dyDescent="0.25">
      <c r="A42" s="11" t="s">
        <v>161</v>
      </c>
      <c r="B42" s="5"/>
      <c r="C42" s="13" t="s">
        <v>91</v>
      </c>
      <c r="D42" s="7">
        <f>SUM(D7:D41)</f>
        <v>64260261</v>
      </c>
      <c r="E42" s="7">
        <f t="shared" ref="E42:AY42" si="8">SUM(E7:E41)</f>
        <v>93910261</v>
      </c>
      <c r="F42" s="7">
        <f t="shared" si="8"/>
        <v>54832744</v>
      </c>
      <c r="G42" s="7">
        <f t="shared" si="8"/>
        <v>7318924</v>
      </c>
      <c r="H42" s="7">
        <f t="shared" si="8"/>
        <v>9246174</v>
      </c>
      <c r="I42" s="7">
        <f t="shared" si="8"/>
        <v>4956699</v>
      </c>
      <c r="J42" s="7">
        <f t="shared" si="8"/>
        <v>138631847</v>
      </c>
      <c r="K42" s="7">
        <f t="shared" si="8"/>
        <v>169038181</v>
      </c>
      <c r="L42" s="7">
        <f t="shared" si="8"/>
        <v>80280084</v>
      </c>
      <c r="M42" s="7">
        <f t="shared" si="8"/>
        <v>29231066</v>
      </c>
      <c r="N42" s="7">
        <f t="shared" si="8"/>
        <v>29231066</v>
      </c>
      <c r="O42" s="7">
        <f t="shared" si="8"/>
        <v>8695671</v>
      </c>
      <c r="P42" s="7">
        <f t="shared" si="8"/>
        <v>28125240</v>
      </c>
      <c r="Q42" s="7">
        <f t="shared" si="8"/>
        <v>28125240</v>
      </c>
      <c r="R42" s="7">
        <f t="shared" si="8"/>
        <v>16377679</v>
      </c>
      <c r="S42" s="7">
        <f t="shared" si="8"/>
        <v>12389170</v>
      </c>
      <c r="T42" s="7">
        <f t="shared" si="8"/>
        <v>18570723</v>
      </c>
      <c r="U42" s="7">
        <f t="shared" si="8"/>
        <v>17258282</v>
      </c>
      <c r="V42" s="7">
        <f t="shared" si="8"/>
        <v>5000000</v>
      </c>
      <c r="W42" s="7">
        <f t="shared" si="8"/>
        <v>5000000</v>
      </c>
      <c r="X42" s="7">
        <f t="shared" si="8"/>
        <v>1600000</v>
      </c>
      <c r="Y42" s="7">
        <f t="shared" si="8"/>
        <v>0</v>
      </c>
      <c r="Z42" s="7">
        <f t="shared" si="8"/>
        <v>0</v>
      </c>
      <c r="AA42" s="7">
        <f t="shared" si="8"/>
        <v>0</v>
      </c>
      <c r="AB42" s="7">
        <f t="shared" si="8"/>
        <v>217049899</v>
      </c>
      <c r="AC42" s="7">
        <f t="shared" si="8"/>
        <v>371514192</v>
      </c>
      <c r="AD42" s="7">
        <f t="shared" si="8"/>
        <v>90795075</v>
      </c>
      <c r="AE42" s="7">
        <f t="shared" si="8"/>
        <v>78562019</v>
      </c>
      <c r="AF42" s="7">
        <f t="shared" si="8"/>
        <v>108561581</v>
      </c>
      <c r="AG42" s="7">
        <f t="shared" si="8"/>
        <v>47613577</v>
      </c>
      <c r="AH42" s="7">
        <f t="shared" si="8"/>
        <v>142901586</v>
      </c>
      <c r="AI42" s="7">
        <f t="shared" si="8"/>
        <v>106239850</v>
      </c>
      <c r="AJ42" s="7">
        <f t="shared" si="8"/>
        <v>0</v>
      </c>
      <c r="AK42" s="7">
        <f t="shared" si="8"/>
        <v>21732794</v>
      </c>
      <c r="AL42" s="7">
        <f t="shared" si="8"/>
        <v>24319431</v>
      </c>
      <c r="AM42" s="7">
        <f t="shared" si="8"/>
        <v>24319431</v>
      </c>
      <c r="AN42" s="7">
        <f t="shared" si="8"/>
        <v>0</v>
      </c>
      <c r="AO42" s="7">
        <f t="shared" si="8"/>
        <v>0</v>
      </c>
      <c r="AP42" s="7">
        <f t="shared" si="8"/>
        <v>0</v>
      </c>
      <c r="AQ42" s="7">
        <f t="shared" si="8"/>
        <v>745202806</v>
      </c>
      <c r="AR42" s="7">
        <f t="shared" si="8"/>
        <v>963756699</v>
      </c>
      <c r="AS42" s="7">
        <f t="shared" si="8"/>
        <v>0</v>
      </c>
      <c r="AT42" s="7">
        <f t="shared" ca="1" si="8"/>
        <v>486765868</v>
      </c>
      <c r="AU42" s="7">
        <f t="shared" ca="1" si="8"/>
        <v>499351768</v>
      </c>
      <c r="AV42" s="7">
        <f t="shared" si="8"/>
        <v>238225806</v>
      </c>
      <c r="AW42" s="7">
        <f t="shared" ca="1" si="8"/>
        <v>1231968674</v>
      </c>
      <c r="AX42" s="7">
        <f t="shared" ca="1" si="8"/>
        <v>1463108467</v>
      </c>
      <c r="AY42" s="7">
        <f t="shared" si="8"/>
        <v>584955048</v>
      </c>
    </row>
    <row r="43" spans="1:51" ht="15.75" x14ac:dyDescent="0.25">
      <c r="A43" s="11" t="s">
        <v>162</v>
      </c>
      <c r="B43" s="5"/>
      <c r="C43" s="13" t="s">
        <v>122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33"/>
      <c r="AY43" s="61">
        <f t="shared" si="5"/>
        <v>0</v>
      </c>
    </row>
    <row r="44" spans="1:51" ht="15.75" x14ac:dyDescent="0.25">
      <c r="A44" s="11" t="s">
        <v>163</v>
      </c>
      <c r="B44" s="11"/>
      <c r="C44" s="38" t="s">
        <v>123</v>
      </c>
      <c r="D44" s="63">
        <v>1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1">
        <f t="shared" si="5"/>
        <v>0</v>
      </c>
    </row>
    <row r="45" spans="1:51" ht="15.75" x14ac:dyDescent="0.25">
      <c r="A45" s="11" t="s">
        <v>164</v>
      </c>
      <c r="B45" s="11"/>
      <c r="C45" s="38" t="s">
        <v>124</v>
      </c>
      <c r="D45" s="63">
        <v>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1">
        <f t="shared" si="5"/>
        <v>0</v>
      </c>
    </row>
    <row r="46" spans="1:51" ht="15.75" x14ac:dyDescent="0.25">
      <c r="A46" s="11" t="s">
        <v>165</v>
      </c>
      <c r="B46" s="11"/>
      <c r="C46" s="38" t="s">
        <v>367</v>
      </c>
      <c r="D46" s="63">
        <v>0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1">
        <f t="shared" si="5"/>
        <v>0</v>
      </c>
    </row>
    <row r="47" spans="1:51" ht="15.75" x14ac:dyDescent="0.25">
      <c r="A47" s="11" t="s">
        <v>166</v>
      </c>
      <c r="B47" s="11"/>
      <c r="C47" s="38" t="s">
        <v>366</v>
      </c>
      <c r="D47" s="63">
        <v>61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1">
        <f t="shared" si="5"/>
        <v>0</v>
      </c>
    </row>
    <row r="48" spans="1:51" ht="15.75" x14ac:dyDescent="0.25">
      <c r="A48" s="11" t="s">
        <v>167</v>
      </c>
      <c r="B48" s="11"/>
      <c r="C48" s="38" t="s">
        <v>187</v>
      </c>
      <c r="D48" s="63">
        <v>3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1">
        <f t="shared" si="5"/>
        <v>0</v>
      </c>
    </row>
    <row r="49" spans="1:52" s="19" customFormat="1" ht="15.75" x14ac:dyDescent="0.25">
      <c r="A49" s="11" t="s">
        <v>168</v>
      </c>
      <c r="B49" s="37"/>
      <c r="C49" s="39" t="s">
        <v>64</v>
      </c>
      <c r="D49" s="7">
        <f>SUM(D44:D48)</f>
        <v>71</v>
      </c>
      <c r="E49" s="7">
        <f>SUM(E44:E48)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33"/>
      <c r="AY49" s="61">
        <f t="shared" si="5"/>
        <v>0</v>
      </c>
    </row>
    <row r="50" spans="1:52" s="134" customFormat="1" ht="15.75" x14ac:dyDescent="0.25">
      <c r="A50" s="131" t="s">
        <v>169</v>
      </c>
      <c r="B50" s="131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61">
        <f t="shared" si="5"/>
        <v>0</v>
      </c>
    </row>
    <row r="51" spans="1:52" x14ac:dyDescent="0.25">
      <c r="A51" s="11" t="s">
        <v>170</v>
      </c>
      <c r="B51" s="5"/>
      <c r="C51" s="16" t="s">
        <v>82</v>
      </c>
      <c r="D51" s="61">
        <f t="shared" ref="D51:AY51" si="9">SUMIF($B7:$B41,"kötelező",D7:D41)</f>
        <v>64260261</v>
      </c>
      <c r="E51" s="61">
        <f t="shared" si="9"/>
        <v>93910261</v>
      </c>
      <c r="F51" s="61">
        <f t="shared" si="9"/>
        <v>54832744</v>
      </c>
      <c r="G51" s="61">
        <f t="shared" si="9"/>
        <v>7318924</v>
      </c>
      <c r="H51" s="61">
        <f t="shared" si="9"/>
        <v>9246174</v>
      </c>
      <c r="I51" s="61">
        <f t="shared" si="9"/>
        <v>4956699</v>
      </c>
      <c r="J51" s="61">
        <f t="shared" si="9"/>
        <v>121338745</v>
      </c>
      <c r="K51" s="61">
        <f t="shared" si="9"/>
        <v>151745079</v>
      </c>
      <c r="L51" s="61">
        <f t="shared" si="9"/>
        <v>71624339</v>
      </c>
      <c r="M51" s="61">
        <f t="shared" si="9"/>
        <v>29231066</v>
      </c>
      <c r="N51" s="61">
        <f t="shared" si="9"/>
        <v>29231066</v>
      </c>
      <c r="O51" s="61">
        <f t="shared" si="9"/>
        <v>8695671</v>
      </c>
      <c r="P51" s="61">
        <f t="shared" si="9"/>
        <v>24825240</v>
      </c>
      <c r="Q51" s="61">
        <f t="shared" si="9"/>
        <v>24825240</v>
      </c>
      <c r="R51" s="61">
        <f t="shared" si="9"/>
        <v>13251545</v>
      </c>
      <c r="S51" s="61">
        <f t="shared" si="9"/>
        <v>12389170</v>
      </c>
      <c r="T51" s="61">
        <f t="shared" si="9"/>
        <v>18570723</v>
      </c>
      <c r="U51" s="61">
        <f t="shared" si="9"/>
        <v>17258282</v>
      </c>
      <c r="V51" s="61">
        <f t="shared" si="9"/>
        <v>5000000</v>
      </c>
      <c r="W51" s="61">
        <f t="shared" si="9"/>
        <v>5000000</v>
      </c>
      <c r="X51" s="61">
        <f t="shared" si="9"/>
        <v>1600000</v>
      </c>
      <c r="Y51" s="61">
        <f t="shared" si="9"/>
        <v>0</v>
      </c>
      <c r="Z51" s="61">
        <f t="shared" si="9"/>
        <v>0</v>
      </c>
      <c r="AA51" s="61">
        <f t="shared" si="9"/>
        <v>0</v>
      </c>
      <c r="AB51" s="61">
        <f t="shared" si="9"/>
        <v>157012104</v>
      </c>
      <c r="AC51" s="61">
        <f t="shared" si="9"/>
        <v>311476397</v>
      </c>
      <c r="AD51" s="61">
        <f t="shared" si="9"/>
        <v>57766415</v>
      </c>
      <c r="AE51" s="61">
        <f t="shared" si="9"/>
        <v>42358968</v>
      </c>
      <c r="AF51" s="61">
        <f t="shared" si="9"/>
        <v>62358534</v>
      </c>
      <c r="AG51" s="61">
        <f t="shared" si="9"/>
        <v>47463378</v>
      </c>
      <c r="AH51" s="61">
        <f t="shared" si="9"/>
        <v>142901586</v>
      </c>
      <c r="AI51" s="61">
        <f t="shared" si="9"/>
        <v>106239850</v>
      </c>
      <c r="AJ51" s="61">
        <f t="shared" si="9"/>
        <v>0</v>
      </c>
      <c r="AK51" s="61">
        <f t="shared" si="9"/>
        <v>21732794</v>
      </c>
      <c r="AL51" s="61">
        <f t="shared" si="9"/>
        <v>24319431</v>
      </c>
      <c r="AM51" s="61">
        <f t="shared" si="9"/>
        <v>24319431</v>
      </c>
      <c r="AN51" s="61">
        <f t="shared" si="9"/>
        <v>0</v>
      </c>
      <c r="AO51" s="61">
        <f t="shared" si="9"/>
        <v>0</v>
      </c>
      <c r="AP51" s="61">
        <f t="shared" si="9"/>
        <v>0</v>
      </c>
      <c r="AQ51" s="61">
        <f t="shared" si="9"/>
        <v>628368858</v>
      </c>
      <c r="AR51" s="61">
        <f t="shared" si="9"/>
        <v>836922755</v>
      </c>
      <c r="AS51" s="61">
        <f t="shared" si="9"/>
        <v>0</v>
      </c>
      <c r="AT51" s="61">
        <f t="shared" ca="1" si="9"/>
        <v>486765868</v>
      </c>
      <c r="AU51" s="61">
        <f t="shared" ca="1" si="9"/>
        <v>499351768</v>
      </c>
      <c r="AV51" s="61">
        <f t="shared" si="9"/>
        <v>238225806</v>
      </c>
      <c r="AW51" s="61">
        <f t="shared" ca="1" si="9"/>
        <v>1115134726</v>
      </c>
      <c r="AX51" s="61">
        <f t="shared" ca="1" si="9"/>
        <v>1336274523</v>
      </c>
      <c r="AY51" s="61">
        <f t="shared" si="9"/>
        <v>539994310</v>
      </c>
    </row>
    <row r="52" spans="1:52" x14ac:dyDescent="0.25">
      <c r="A52" s="11" t="s">
        <v>171</v>
      </c>
      <c r="B52" s="5"/>
      <c r="C52" s="16" t="s">
        <v>83</v>
      </c>
      <c r="D52" s="61">
        <f t="shared" ref="D52:AY52" si="10">SUMIF($B7:$B41,"nem kötelező",D7:D41)</f>
        <v>0</v>
      </c>
      <c r="E52" s="61">
        <f t="shared" si="10"/>
        <v>0</v>
      </c>
      <c r="F52" s="61">
        <f t="shared" si="10"/>
        <v>0</v>
      </c>
      <c r="G52" s="61">
        <f t="shared" si="10"/>
        <v>0</v>
      </c>
      <c r="H52" s="61">
        <f t="shared" si="10"/>
        <v>0</v>
      </c>
      <c r="I52" s="61">
        <f t="shared" si="10"/>
        <v>0</v>
      </c>
      <c r="J52" s="61">
        <f t="shared" si="10"/>
        <v>17293102</v>
      </c>
      <c r="K52" s="61">
        <f t="shared" si="10"/>
        <v>17293102</v>
      </c>
      <c r="L52" s="61">
        <f t="shared" si="10"/>
        <v>8655745</v>
      </c>
      <c r="M52" s="61">
        <f t="shared" si="10"/>
        <v>0</v>
      </c>
      <c r="N52" s="61">
        <f t="shared" si="10"/>
        <v>0</v>
      </c>
      <c r="O52" s="61">
        <f t="shared" si="10"/>
        <v>0</v>
      </c>
      <c r="P52" s="61">
        <f t="shared" si="10"/>
        <v>3300000</v>
      </c>
      <c r="Q52" s="61">
        <f t="shared" si="10"/>
        <v>3300000</v>
      </c>
      <c r="R52" s="61">
        <f t="shared" si="10"/>
        <v>3126134</v>
      </c>
      <c r="S52" s="61">
        <f t="shared" si="10"/>
        <v>0</v>
      </c>
      <c r="T52" s="61">
        <f t="shared" si="10"/>
        <v>0</v>
      </c>
      <c r="U52" s="61">
        <f t="shared" si="10"/>
        <v>0</v>
      </c>
      <c r="V52" s="61">
        <f t="shared" si="10"/>
        <v>0</v>
      </c>
      <c r="W52" s="61">
        <f t="shared" si="10"/>
        <v>0</v>
      </c>
      <c r="X52" s="61">
        <f t="shared" si="10"/>
        <v>0</v>
      </c>
      <c r="Y52" s="61">
        <f t="shared" si="10"/>
        <v>0</v>
      </c>
      <c r="Z52" s="61">
        <f t="shared" si="10"/>
        <v>0</v>
      </c>
      <c r="AA52" s="61">
        <f t="shared" si="10"/>
        <v>0</v>
      </c>
      <c r="AB52" s="61">
        <f t="shared" si="10"/>
        <v>60037795</v>
      </c>
      <c r="AC52" s="61">
        <f t="shared" si="10"/>
        <v>60037795</v>
      </c>
      <c r="AD52" s="61">
        <f t="shared" si="10"/>
        <v>33028660</v>
      </c>
      <c r="AE52" s="61">
        <f t="shared" si="10"/>
        <v>36203051</v>
      </c>
      <c r="AF52" s="61">
        <f t="shared" si="10"/>
        <v>46203047</v>
      </c>
      <c r="AG52" s="61">
        <f t="shared" si="10"/>
        <v>150199</v>
      </c>
      <c r="AH52" s="61">
        <f t="shared" si="10"/>
        <v>0</v>
      </c>
      <c r="AI52" s="61">
        <f t="shared" si="10"/>
        <v>0</v>
      </c>
      <c r="AJ52" s="61">
        <f t="shared" si="10"/>
        <v>0</v>
      </c>
      <c r="AK52" s="61">
        <f t="shared" si="10"/>
        <v>0</v>
      </c>
      <c r="AL52" s="61">
        <f t="shared" si="10"/>
        <v>0</v>
      </c>
      <c r="AM52" s="61">
        <f t="shared" si="10"/>
        <v>0</v>
      </c>
      <c r="AN52" s="61">
        <f t="shared" si="10"/>
        <v>0</v>
      </c>
      <c r="AO52" s="61">
        <f t="shared" si="10"/>
        <v>0</v>
      </c>
      <c r="AP52" s="61">
        <f t="shared" si="10"/>
        <v>0</v>
      </c>
      <c r="AQ52" s="61">
        <f t="shared" si="10"/>
        <v>116833948</v>
      </c>
      <c r="AR52" s="61">
        <f t="shared" si="10"/>
        <v>126833944</v>
      </c>
      <c r="AS52" s="61">
        <f t="shared" si="10"/>
        <v>0</v>
      </c>
      <c r="AT52" s="61">
        <f t="shared" si="10"/>
        <v>0</v>
      </c>
      <c r="AU52" s="61">
        <f t="shared" si="10"/>
        <v>0</v>
      </c>
      <c r="AV52" s="61">
        <f t="shared" si="10"/>
        <v>0</v>
      </c>
      <c r="AW52" s="61">
        <f t="shared" si="10"/>
        <v>116833948</v>
      </c>
      <c r="AX52" s="61">
        <f t="shared" si="10"/>
        <v>126833944</v>
      </c>
      <c r="AY52" s="61">
        <f t="shared" si="10"/>
        <v>44960738</v>
      </c>
    </row>
    <row r="53" spans="1:52" s="19" customFormat="1" x14ac:dyDescent="0.25">
      <c r="A53" s="11" t="s">
        <v>172</v>
      </c>
      <c r="B53" s="17"/>
      <c r="C53" s="18" t="s">
        <v>235</v>
      </c>
      <c r="D53" s="87">
        <f>SUM(D54:D55)</f>
        <v>99373301</v>
      </c>
      <c r="E53" s="87">
        <f>SUM(E54:E55)</f>
        <v>101212559</v>
      </c>
      <c r="F53" s="87">
        <f t="shared" ref="F53:AY53" si="11">SUM(F54:F55)</f>
        <v>51769589.872000001</v>
      </c>
      <c r="G53" s="87">
        <f t="shared" si="11"/>
        <v>13992867</v>
      </c>
      <c r="H53" s="87">
        <f t="shared" si="11"/>
        <v>14245097</v>
      </c>
      <c r="I53" s="87">
        <f t="shared" si="11"/>
        <v>7570269.9616</v>
      </c>
      <c r="J53" s="87">
        <f t="shared" si="11"/>
        <v>7813010</v>
      </c>
      <c r="K53" s="87">
        <f t="shared" si="11"/>
        <v>7964534</v>
      </c>
      <c r="L53" s="87">
        <f t="shared" si="11"/>
        <v>2424349</v>
      </c>
      <c r="M53" s="87">
        <f t="shared" si="11"/>
        <v>0</v>
      </c>
      <c r="N53" s="87">
        <f t="shared" si="11"/>
        <v>0</v>
      </c>
      <c r="O53" s="87">
        <f t="shared" si="11"/>
        <v>0</v>
      </c>
      <c r="P53" s="87">
        <f t="shared" si="11"/>
        <v>0</v>
      </c>
      <c r="Q53" s="87">
        <f t="shared" si="11"/>
        <v>0</v>
      </c>
      <c r="R53" s="87">
        <f t="shared" si="11"/>
        <v>0</v>
      </c>
      <c r="S53" s="87">
        <f t="shared" si="11"/>
        <v>0</v>
      </c>
      <c r="T53" s="87">
        <f t="shared" si="11"/>
        <v>0</v>
      </c>
      <c r="U53" s="87">
        <f t="shared" si="11"/>
        <v>0</v>
      </c>
      <c r="V53" s="87">
        <f t="shared" si="11"/>
        <v>0</v>
      </c>
      <c r="W53" s="87">
        <f t="shared" si="11"/>
        <v>0</v>
      </c>
      <c r="X53" s="87">
        <f t="shared" si="11"/>
        <v>0</v>
      </c>
      <c r="Y53" s="87">
        <f t="shared" si="11"/>
        <v>0</v>
      </c>
      <c r="Z53" s="87">
        <f t="shared" si="11"/>
        <v>0</v>
      </c>
      <c r="AA53" s="87">
        <f t="shared" si="11"/>
        <v>0</v>
      </c>
      <c r="AB53" s="87">
        <f t="shared" si="11"/>
        <v>444500</v>
      </c>
      <c r="AC53" s="87">
        <f t="shared" si="11"/>
        <v>444500</v>
      </c>
      <c r="AD53" s="87">
        <f t="shared" si="11"/>
        <v>0</v>
      </c>
      <c r="AE53" s="87">
        <f t="shared" si="11"/>
        <v>0</v>
      </c>
      <c r="AF53" s="87">
        <f t="shared" si="11"/>
        <v>0</v>
      </c>
      <c r="AG53" s="87">
        <f t="shared" si="11"/>
        <v>0</v>
      </c>
      <c r="AH53" s="87">
        <f t="shared" si="11"/>
        <v>0</v>
      </c>
      <c r="AI53" s="87">
        <f t="shared" si="11"/>
        <v>0</v>
      </c>
      <c r="AJ53" s="87">
        <f t="shared" si="11"/>
        <v>0</v>
      </c>
      <c r="AK53" s="87">
        <f t="shared" si="11"/>
        <v>0</v>
      </c>
      <c r="AL53" s="87">
        <f t="shared" si="11"/>
        <v>0</v>
      </c>
      <c r="AM53" s="87">
        <f t="shared" si="11"/>
        <v>0</v>
      </c>
      <c r="AN53" s="87">
        <f t="shared" si="11"/>
        <v>0</v>
      </c>
      <c r="AO53" s="87">
        <f t="shared" si="11"/>
        <v>0</v>
      </c>
      <c r="AP53" s="87">
        <f t="shared" si="11"/>
        <v>0</v>
      </c>
      <c r="AQ53" s="87">
        <f t="shared" si="11"/>
        <v>121623678</v>
      </c>
      <c r="AR53" s="87">
        <f t="shared" si="11"/>
        <v>123866690</v>
      </c>
      <c r="AS53" s="87">
        <f t="shared" si="11"/>
        <v>0</v>
      </c>
      <c r="AT53" s="87">
        <f t="shared" si="11"/>
        <v>0</v>
      </c>
      <c r="AU53" s="87">
        <f t="shared" si="11"/>
        <v>121186622</v>
      </c>
      <c r="AV53" s="87">
        <f t="shared" si="11"/>
        <v>0</v>
      </c>
      <c r="AW53" s="87">
        <f t="shared" si="11"/>
        <v>121623678</v>
      </c>
      <c r="AX53" s="87">
        <f t="shared" si="11"/>
        <v>123866690</v>
      </c>
      <c r="AY53" s="87">
        <f t="shared" si="11"/>
        <v>61764208.8336</v>
      </c>
    </row>
    <row r="54" spans="1:52" x14ac:dyDescent="0.25">
      <c r="A54" s="11" t="s">
        <v>173</v>
      </c>
      <c r="B54" s="5" t="s">
        <v>113</v>
      </c>
      <c r="C54" s="20" t="s">
        <v>112</v>
      </c>
      <c r="D54" s="85">
        <f>'7.PMH kiad'!D8</f>
        <v>12329631</v>
      </c>
      <c r="E54" s="85">
        <f>'7.PMH kiad'!E13</f>
        <v>12329631</v>
      </c>
      <c r="F54" s="85">
        <f>'7.PMH kiad'!F13</f>
        <v>6188871</v>
      </c>
      <c r="G54" s="85">
        <f>'7.PMH kiad'!G8</f>
        <v>1626554</v>
      </c>
      <c r="H54" s="85">
        <f>'7.PMH kiad'!H13</f>
        <v>1626554</v>
      </c>
      <c r="I54" s="85">
        <f>'7.PMH kiad'!I13</f>
        <v>851368</v>
      </c>
      <c r="J54" s="85">
        <f>'7.PMH kiad'!J8</f>
        <v>937561</v>
      </c>
      <c r="K54" s="85">
        <f>'7.PMH kiad'!K13</f>
        <v>937561</v>
      </c>
      <c r="L54" s="85">
        <f>'7.PMH kiad'!L13</f>
        <v>272022</v>
      </c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>
        <f>D54+G54+J54+M54+P54+S54+V54+Y54+AB54+AE54+AH54+AK54</f>
        <v>14893746</v>
      </c>
      <c r="AR54" s="87">
        <f>E54+H54+K54</f>
        <v>14893746</v>
      </c>
      <c r="AS54" s="87"/>
      <c r="AT54" s="107"/>
      <c r="AU54" s="107">
        <f>'3.mellékletPH.bev.'!W11</f>
        <v>13956185</v>
      </c>
      <c r="AV54" s="107"/>
      <c r="AW54" s="106">
        <f t="shared" ref="AW54:AW61" si="12">AQ54+AT54</f>
        <v>14893746</v>
      </c>
      <c r="AX54" s="8">
        <f t="shared" ref="AX54:AX61" si="13">AR54</f>
        <v>14893746</v>
      </c>
      <c r="AY54" s="61">
        <f>F54+I54+L54+O54+R54+U54+X54+AA54+AD54+AG54+AJ54+AM54+AP54+AS54+AV54</f>
        <v>7312261</v>
      </c>
    </row>
    <row r="55" spans="1:52" x14ac:dyDescent="0.25">
      <c r="A55" s="11" t="s">
        <v>174</v>
      </c>
      <c r="B55" s="5" t="s">
        <v>77</v>
      </c>
      <c r="C55" s="20" t="s">
        <v>82</v>
      </c>
      <c r="D55" s="85">
        <f>'7.PMH kiad'!D7</f>
        <v>87043670</v>
      </c>
      <c r="E55" s="85">
        <f>'7.PMH kiad'!E14</f>
        <v>88882928</v>
      </c>
      <c r="F55" s="85">
        <f>'7.PMH kiad'!F14</f>
        <v>45580718.872000001</v>
      </c>
      <c r="G55" s="85">
        <f>'7.PMH kiad'!G7</f>
        <v>12366313</v>
      </c>
      <c r="H55" s="85">
        <f>'7.PMH kiad'!H14</f>
        <v>12618543</v>
      </c>
      <c r="I55" s="85">
        <f>'7.PMH kiad'!I14</f>
        <v>6718901.9616</v>
      </c>
      <c r="J55" s="85">
        <f>'7.PMH kiad'!J7</f>
        <v>6875449</v>
      </c>
      <c r="K55" s="85">
        <f>'7.PMH kiad'!K14</f>
        <v>7026973</v>
      </c>
      <c r="L55" s="85">
        <f>'7.PMH kiad'!L14</f>
        <v>2152327</v>
      </c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>
        <f>'7.PMH kiad'!S14</f>
        <v>444500</v>
      </c>
      <c r="AC55" s="85">
        <f>'7.PMH kiad'!T14</f>
        <v>444500</v>
      </c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>
        <f>D55+G55+J55+M55+P55+S55+V55+Y55+AB55+AE55+AH55+AK55</f>
        <v>106729932</v>
      </c>
      <c r="AR55" s="85">
        <f>E55+H55+K55+N55+Q55+T55+W55+Z55+AC55+AF55+AI55+AL55+AO55</f>
        <v>108972944</v>
      </c>
      <c r="AS55" s="85"/>
      <c r="AT55" s="107"/>
      <c r="AU55" s="107">
        <f>'3.mellékletPH.bev.'!W10</f>
        <v>107230437</v>
      </c>
      <c r="AV55" s="107"/>
      <c r="AW55" s="106">
        <f t="shared" si="12"/>
        <v>106729932</v>
      </c>
      <c r="AX55" s="8">
        <f t="shared" si="13"/>
        <v>108972944</v>
      </c>
      <c r="AY55" s="61">
        <f t="shared" si="5"/>
        <v>54451947.8336</v>
      </c>
    </row>
    <row r="56" spans="1:52" s="19" customFormat="1" x14ac:dyDescent="0.25">
      <c r="A56" s="11" t="s">
        <v>175</v>
      </c>
      <c r="B56" s="17"/>
      <c r="C56" s="18" t="s">
        <v>240</v>
      </c>
      <c r="D56" s="87">
        <f>SUM(D57:D58)</f>
        <v>126769171</v>
      </c>
      <c r="E56" s="87">
        <f>SUM(E57:E58)</f>
        <v>127491551</v>
      </c>
      <c r="F56" s="87">
        <f t="shared" ref="F56:AY56" si="14">SUM(F57:F58)</f>
        <v>55836649</v>
      </c>
      <c r="G56" s="87">
        <f t="shared" si="14"/>
        <v>16341759</v>
      </c>
      <c r="H56" s="87">
        <f t="shared" si="14"/>
        <v>16435668</v>
      </c>
      <c r="I56" s="87">
        <f t="shared" si="14"/>
        <v>7462000</v>
      </c>
      <c r="J56" s="87">
        <f t="shared" si="14"/>
        <v>40766737</v>
      </c>
      <c r="K56" s="87">
        <f t="shared" si="14"/>
        <v>40766737</v>
      </c>
      <c r="L56" s="87">
        <f t="shared" si="14"/>
        <v>18269160</v>
      </c>
      <c r="M56" s="87">
        <f t="shared" si="14"/>
        <v>0</v>
      </c>
      <c r="N56" s="87">
        <f t="shared" si="14"/>
        <v>0</v>
      </c>
      <c r="O56" s="87">
        <f t="shared" si="14"/>
        <v>0</v>
      </c>
      <c r="P56" s="87">
        <f t="shared" si="14"/>
        <v>0</v>
      </c>
      <c r="Q56" s="87">
        <f t="shared" si="14"/>
        <v>0</v>
      </c>
      <c r="R56" s="87">
        <f t="shared" si="14"/>
        <v>0</v>
      </c>
      <c r="S56" s="87">
        <f t="shared" si="14"/>
        <v>0</v>
      </c>
      <c r="T56" s="87">
        <f t="shared" si="14"/>
        <v>0</v>
      </c>
      <c r="U56" s="87">
        <f t="shared" si="14"/>
        <v>0</v>
      </c>
      <c r="V56" s="87">
        <f t="shared" si="14"/>
        <v>0</v>
      </c>
      <c r="W56" s="87">
        <f t="shared" si="14"/>
        <v>0</v>
      </c>
      <c r="X56" s="87">
        <f t="shared" si="14"/>
        <v>0</v>
      </c>
      <c r="Y56" s="87">
        <f t="shared" si="14"/>
        <v>0</v>
      </c>
      <c r="Z56" s="87">
        <f t="shared" si="14"/>
        <v>0</v>
      </c>
      <c r="AA56" s="87">
        <f t="shared" si="14"/>
        <v>0</v>
      </c>
      <c r="AB56" s="87">
        <f t="shared" si="14"/>
        <v>876064</v>
      </c>
      <c r="AC56" s="87">
        <f t="shared" si="14"/>
        <v>1076565</v>
      </c>
      <c r="AD56" s="87">
        <f t="shared" si="14"/>
        <v>871402</v>
      </c>
      <c r="AE56" s="87">
        <f t="shared" si="14"/>
        <v>0</v>
      </c>
      <c r="AF56" s="87">
        <f t="shared" si="14"/>
        <v>0</v>
      </c>
      <c r="AG56" s="87">
        <f t="shared" si="14"/>
        <v>0</v>
      </c>
      <c r="AH56" s="87">
        <f t="shared" si="14"/>
        <v>0</v>
      </c>
      <c r="AI56" s="87">
        <f t="shared" si="14"/>
        <v>0</v>
      </c>
      <c r="AJ56" s="87">
        <f t="shared" si="14"/>
        <v>0</v>
      </c>
      <c r="AK56" s="87">
        <f t="shared" si="14"/>
        <v>0</v>
      </c>
      <c r="AL56" s="87">
        <f t="shared" si="14"/>
        <v>0</v>
      </c>
      <c r="AM56" s="87">
        <f t="shared" si="14"/>
        <v>0</v>
      </c>
      <c r="AN56" s="87">
        <f t="shared" si="14"/>
        <v>0</v>
      </c>
      <c r="AO56" s="87">
        <f t="shared" si="14"/>
        <v>0</v>
      </c>
      <c r="AP56" s="87">
        <f t="shared" si="14"/>
        <v>0</v>
      </c>
      <c r="AQ56" s="87">
        <f t="shared" si="14"/>
        <v>184753731</v>
      </c>
      <c r="AR56" s="87">
        <f t="shared" si="14"/>
        <v>185770521</v>
      </c>
      <c r="AS56" s="87">
        <f t="shared" si="14"/>
        <v>0</v>
      </c>
      <c r="AT56" s="87">
        <f t="shared" si="14"/>
        <v>0</v>
      </c>
      <c r="AU56" s="87">
        <f t="shared" si="14"/>
        <v>184481142</v>
      </c>
      <c r="AV56" s="87">
        <f t="shared" si="14"/>
        <v>0</v>
      </c>
      <c r="AW56" s="87">
        <f t="shared" si="14"/>
        <v>184753731</v>
      </c>
      <c r="AX56" s="87">
        <f t="shared" si="14"/>
        <v>185770521</v>
      </c>
      <c r="AY56" s="87">
        <f t="shared" si="14"/>
        <v>82439211</v>
      </c>
    </row>
    <row r="57" spans="1:52" x14ac:dyDescent="0.25">
      <c r="A57" s="11" t="s">
        <v>176</v>
      </c>
      <c r="B57" s="5" t="s">
        <v>77</v>
      </c>
      <c r="C57" s="20" t="s">
        <v>82</v>
      </c>
      <c r="D57" s="85">
        <f>'9. Óvoda kiad'!D13</f>
        <v>126769171</v>
      </c>
      <c r="E57" s="85">
        <f>'9. Óvoda kiad'!E13</f>
        <v>127491551</v>
      </c>
      <c r="F57" s="85">
        <f>'9. Óvoda kiad'!F13</f>
        <v>55836649</v>
      </c>
      <c r="G57" s="85">
        <f>'9. Óvoda kiad'!G13</f>
        <v>16341759</v>
      </c>
      <c r="H57" s="85">
        <f>'9. Óvoda kiad'!H13</f>
        <v>16435668</v>
      </c>
      <c r="I57" s="85">
        <f>'9. Óvoda kiad'!I13</f>
        <v>7462000</v>
      </c>
      <c r="J57" s="85">
        <f>'9. Óvoda kiad'!J13</f>
        <v>40766737</v>
      </c>
      <c r="K57" s="85">
        <f>'9. Óvoda kiad'!K13</f>
        <v>40766737</v>
      </c>
      <c r="L57" s="85">
        <f>'9. Óvoda kiad'!L13</f>
        <v>18269160</v>
      </c>
      <c r="M57" s="85"/>
      <c r="N57" s="85">
        <f>'9. Óvoda kiad'!N13</f>
        <v>0</v>
      </c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>
        <f>'9. Óvoda kiad'!S13</f>
        <v>876064</v>
      </c>
      <c r="AC57" s="85">
        <f>'9. Óvoda kiad'!T13</f>
        <v>1076565</v>
      </c>
      <c r="AD57" s="85">
        <f>'9. Óvoda kiad'!U13</f>
        <v>871402</v>
      </c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>
        <f t="shared" ref="AQ57:AQ61" si="15">D57+G57+J57+M57+P57+S57+V57+Y57+AB57+AE57+AH57+AK57</f>
        <v>184753731</v>
      </c>
      <c r="AR57" s="85">
        <f>E57+H57+K57+AC57</f>
        <v>185770521</v>
      </c>
      <c r="AS57" s="85"/>
      <c r="AT57" s="107"/>
      <c r="AU57" s="107">
        <f>'5. Óvoda bev'!W14</f>
        <v>184481142</v>
      </c>
      <c r="AV57" s="107"/>
      <c r="AW57" s="106">
        <f t="shared" si="12"/>
        <v>184753731</v>
      </c>
      <c r="AX57" s="8">
        <f t="shared" si="13"/>
        <v>185770521</v>
      </c>
      <c r="AY57" s="61">
        <f t="shared" si="5"/>
        <v>82439211</v>
      </c>
    </row>
    <row r="58" spans="1:52" x14ac:dyDescent="0.25">
      <c r="A58" s="11" t="s">
        <v>177</v>
      </c>
      <c r="B58" s="5" t="s">
        <v>78</v>
      </c>
      <c r="C58" s="20" t="s">
        <v>83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>
        <f t="shared" si="15"/>
        <v>0</v>
      </c>
      <c r="AR58" s="85">
        <f t="shared" ref="AR58:AR61" si="16">E58+H58+K58+N58+Q58+T58+W58+Z58+AC58+AF58+AI58+AL58+AO58</f>
        <v>0</v>
      </c>
      <c r="AS58" s="85"/>
      <c r="AT58" s="107"/>
      <c r="AU58" s="107"/>
      <c r="AV58" s="107"/>
      <c r="AW58" s="106">
        <f t="shared" si="12"/>
        <v>0</v>
      </c>
      <c r="AX58" s="8">
        <f t="shared" si="13"/>
        <v>0</v>
      </c>
      <c r="AY58" s="61">
        <f t="shared" si="5"/>
        <v>0</v>
      </c>
    </row>
    <row r="59" spans="1:52" s="19" customFormat="1" x14ac:dyDescent="0.25">
      <c r="A59" s="11" t="s">
        <v>178</v>
      </c>
      <c r="B59" s="17"/>
      <c r="C59" s="18" t="s">
        <v>241</v>
      </c>
      <c r="D59" s="87">
        <f>SUM(D60:D61)</f>
        <v>140431980</v>
      </c>
      <c r="E59" s="87">
        <f>SUM(E60:E61)</f>
        <v>151257337</v>
      </c>
      <c r="F59" s="87">
        <f t="shared" ref="F59:AY59" si="17">SUM(F60:F61)</f>
        <v>70952349</v>
      </c>
      <c r="G59" s="87">
        <f t="shared" si="17"/>
        <v>19104846</v>
      </c>
      <c r="H59" s="87">
        <f t="shared" si="17"/>
        <v>20456973</v>
      </c>
      <c r="I59" s="87">
        <f t="shared" si="17"/>
        <v>9801235</v>
      </c>
      <c r="J59" s="87">
        <f t="shared" si="17"/>
        <v>96569546</v>
      </c>
      <c r="K59" s="87">
        <f t="shared" si="17"/>
        <v>102919546</v>
      </c>
      <c r="L59" s="87">
        <f t="shared" si="17"/>
        <v>50793516</v>
      </c>
      <c r="M59" s="87">
        <f t="shared" si="17"/>
        <v>0</v>
      </c>
      <c r="N59" s="87">
        <f t="shared" si="17"/>
        <v>0</v>
      </c>
      <c r="O59" s="87">
        <f t="shared" si="17"/>
        <v>0</v>
      </c>
      <c r="P59" s="87">
        <f t="shared" si="17"/>
        <v>0</v>
      </c>
      <c r="Q59" s="87">
        <f t="shared" si="17"/>
        <v>0</v>
      </c>
      <c r="R59" s="87">
        <f t="shared" si="17"/>
        <v>0</v>
      </c>
      <c r="S59" s="87">
        <f t="shared" si="17"/>
        <v>0</v>
      </c>
      <c r="T59" s="87">
        <f t="shared" si="17"/>
        <v>0</v>
      </c>
      <c r="U59" s="87">
        <f t="shared" si="17"/>
        <v>0</v>
      </c>
      <c r="V59" s="87">
        <f t="shared" si="17"/>
        <v>0</v>
      </c>
      <c r="W59" s="87">
        <f t="shared" si="17"/>
        <v>0</v>
      </c>
      <c r="X59" s="87">
        <f t="shared" si="17"/>
        <v>0</v>
      </c>
      <c r="Y59" s="87">
        <f t="shared" si="17"/>
        <v>0</v>
      </c>
      <c r="Z59" s="87">
        <f t="shared" si="17"/>
        <v>0</v>
      </c>
      <c r="AA59" s="87">
        <f t="shared" si="17"/>
        <v>0</v>
      </c>
      <c r="AB59" s="87">
        <f t="shared" si="17"/>
        <v>4110002</v>
      </c>
      <c r="AC59" s="87">
        <f t="shared" si="17"/>
        <v>4110002</v>
      </c>
      <c r="AD59" s="87">
        <f t="shared" si="17"/>
        <v>391710</v>
      </c>
      <c r="AE59" s="87">
        <f t="shared" si="17"/>
        <v>7300000</v>
      </c>
      <c r="AF59" s="87">
        <f t="shared" si="17"/>
        <v>950000</v>
      </c>
      <c r="AG59" s="87">
        <f t="shared" si="17"/>
        <v>0</v>
      </c>
      <c r="AH59" s="87">
        <f t="shared" si="17"/>
        <v>0</v>
      </c>
      <c r="AI59" s="87">
        <f t="shared" si="17"/>
        <v>0</v>
      </c>
      <c r="AJ59" s="87">
        <f t="shared" si="17"/>
        <v>0</v>
      </c>
      <c r="AK59" s="87">
        <f t="shared" si="17"/>
        <v>0</v>
      </c>
      <c r="AL59" s="87">
        <f t="shared" si="17"/>
        <v>0</v>
      </c>
      <c r="AM59" s="87">
        <f t="shared" si="17"/>
        <v>0</v>
      </c>
      <c r="AN59" s="87">
        <f t="shared" si="17"/>
        <v>0</v>
      </c>
      <c r="AO59" s="87">
        <f t="shared" si="17"/>
        <v>0</v>
      </c>
      <c r="AP59" s="87">
        <f t="shared" si="17"/>
        <v>0</v>
      </c>
      <c r="AQ59" s="87">
        <f t="shared" si="17"/>
        <v>267516374</v>
      </c>
      <c r="AR59" s="87">
        <f t="shared" si="17"/>
        <v>279693858</v>
      </c>
      <c r="AS59" s="87">
        <f t="shared" si="17"/>
        <v>0</v>
      </c>
      <c r="AT59" s="87">
        <f t="shared" si="17"/>
        <v>0</v>
      </c>
      <c r="AU59" s="87">
        <f t="shared" ca="1" si="17"/>
        <v>193684004</v>
      </c>
      <c r="AV59" s="87">
        <f t="shared" si="17"/>
        <v>0</v>
      </c>
      <c r="AW59" s="87">
        <f t="shared" si="17"/>
        <v>267516374</v>
      </c>
      <c r="AX59" s="87">
        <f t="shared" si="17"/>
        <v>279693858</v>
      </c>
      <c r="AY59" s="87">
        <f t="shared" si="17"/>
        <v>131938810</v>
      </c>
    </row>
    <row r="60" spans="1:52" x14ac:dyDescent="0.25">
      <c r="A60" s="11" t="s">
        <v>179</v>
      </c>
      <c r="B60" s="5" t="s">
        <v>77</v>
      </c>
      <c r="C60" s="20" t="s">
        <v>82</v>
      </c>
      <c r="D60" s="85">
        <f>'8.ESZI kiad'!D15</f>
        <v>19484875</v>
      </c>
      <c r="E60" s="85">
        <f>'8.ESZI kiad'!E15</f>
        <v>20330940</v>
      </c>
      <c r="F60" s="85">
        <f>'8.ESZI kiad'!F15</f>
        <v>9005310</v>
      </c>
      <c r="G60" s="85">
        <f>'8.ESZI kiad'!G15</f>
        <v>2885912</v>
      </c>
      <c r="H60" s="85">
        <f>'8.ESZI kiad'!H15</f>
        <v>2995901</v>
      </c>
      <c r="I60" s="85">
        <f>'8.ESZI kiad'!I15</f>
        <v>1601919</v>
      </c>
      <c r="J60" s="85">
        <f>'8.ESZI kiad'!J15</f>
        <v>8688432</v>
      </c>
      <c r="K60" s="85">
        <f>'8.ESZI kiad'!K15</f>
        <v>8688432</v>
      </c>
      <c r="L60" s="85">
        <f>'8.ESZI kiad'!L15</f>
        <v>5173928</v>
      </c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>
        <f>'8.ESZI kiad'!S15</f>
        <v>300000</v>
      </c>
      <c r="AC60" s="85">
        <f>'8.ESZI kiad'!T15</f>
        <v>300000</v>
      </c>
      <c r="AD60" s="85">
        <f>'8.ESZI kiad'!U15</f>
        <v>23060</v>
      </c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>
        <f t="shared" si="15"/>
        <v>31359219</v>
      </c>
      <c r="AR60" s="85">
        <f t="shared" si="16"/>
        <v>32315273</v>
      </c>
      <c r="AS60" s="85"/>
      <c r="AT60" s="107"/>
      <c r="AU60" s="107">
        <f ca="1">'4 ESZI bev'!W18</f>
        <v>24717432</v>
      </c>
      <c r="AV60" s="107"/>
      <c r="AW60" s="106">
        <f t="shared" si="12"/>
        <v>31359219</v>
      </c>
      <c r="AX60" s="8">
        <f t="shared" si="13"/>
        <v>32315273</v>
      </c>
      <c r="AY60" s="61">
        <f t="shared" si="5"/>
        <v>15804217</v>
      </c>
    </row>
    <row r="61" spans="1:52" x14ac:dyDescent="0.25">
      <c r="A61" s="11" t="s">
        <v>221</v>
      </c>
      <c r="B61" s="5" t="s">
        <v>78</v>
      </c>
      <c r="C61" s="20" t="s">
        <v>83</v>
      </c>
      <c r="D61" s="85">
        <f>'8.ESZI kiad'!D16</f>
        <v>120947105</v>
      </c>
      <c r="E61" s="85">
        <f>'8.ESZI kiad'!E16</f>
        <v>130926397</v>
      </c>
      <c r="F61" s="85">
        <f>'8.ESZI kiad'!F16</f>
        <v>61947039</v>
      </c>
      <c r="G61" s="85">
        <f>'8.ESZI kiad'!G16</f>
        <v>16218934</v>
      </c>
      <c r="H61" s="85">
        <f>'8.ESZI kiad'!H16</f>
        <v>17461072</v>
      </c>
      <c r="I61" s="85">
        <f>'8.ESZI kiad'!I16</f>
        <v>8199316</v>
      </c>
      <c r="J61" s="85">
        <f>'8.ESZI kiad'!J16</f>
        <v>87881114</v>
      </c>
      <c r="K61" s="85">
        <f>'8.ESZI kiad'!K16</f>
        <v>94231114</v>
      </c>
      <c r="L61" s="85">
        <f>'8.ESZI kiad'!L16</f>
        <v>45619588</v>
      </c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>
        <f>'8.ESZI kiad'!S16</f>
        <v>3810002</v>
      </c>
      <c r="AC61" s="85">
        <f>'8.ESZI kiad'!T16</f>
        <v>3810002</v>
      </c>
      <c r="AD61" s="85">
        <f>'8.ESZI kiad'!U16</f>
        <v>368650</v>
      </c>
      <c r="AE61" s="85">
        <f>'8.ESZI kiad'!V7+'8.ESZI kiad'!V8</f>
        <v>7300000</v>
      </c>
      <c r="AF61" s="85">
        <f>'8.ESZI kiad'!W16</f>
        <v>950000</v>
      </c>
      <c r="AG61" s="85">
        <f>'8.ESZI kiad'!X16</f>
        <v>0</v>
      </c>
      <c r="AH61" s="85"/>
      <c r="AI61" s="85"/>
      <c r="AJ61" s="85"/>
      <c r="AK61" s="85"/>
      <c r="AL61" s="85"/>
      <c r="AM61" s="85"/>
      <c r="AN61" s="85"/>
      <c r="AO61" s="85"/>
      <c r="AP61" s="85"/>
      <c r="AQ61" s="85">
        <f t="shared" si="15"/>
        <v>236157155</v>
      </c>
      <c r="AR61" s="85">
        <f t="shared" si="16"/>
        <v>247378585</v>
      </c>
      <c r="AS61" s="85"/>
      <c r="AT61" s="107"/>
      <c r="AU61" s="107">
        <f>'4 ESZI bev'!W19</f>
        <v>168966572</v>
      </c>
      <c r="AV61" s="107"/>
      <c r="AW61" s="106">
        <f t="shared" si="12"/>
        <v>236157155</v>
      </c>
      <c r="AX61" s="8">
        <f t="shared" si="13"/>
        <v>247378585</v>
      </c>
      <c r="AY61" s="61">
        <f t="shared" si="5"/>
        <v>116134593</v>
      </c>
    </row>
    <row r="62" spans="1:52" s="19" customFormat="1" ht="15.75" x14ac:dyDescent="0.25">
      <c r="A62" s="11" t="s">
        <v>222</v>
      </c>
      <c r="B62" s="17"/>
      <c r="C62" s="13" t="s">
        <v>84</v>
      </c>
      <c r="D62" s="87">
        <f t="shared" ref="D62:AY62" si="18">D42+D53+D56+D59</f>
        <v>430834713</v>
      </c>
      <c r="E62" s="87">
        <f t="shared" si="18"/>
        <v>473871708</v>
      </c>
      <c r="F62" s="87">
        <f t="shared" si="18"/>
        <v>233391331.87200001</v>
      </c>
      <c r="G62" s="87">
        <f t="shared" si="18"/>
        <v>56758396</v>
      </c>
      <c r="H62" s="87">
        <f t="shared" si="18"/>
        <v>60383912</v>
      </c>
      <c r="I62" s="87">
        <f t="shared" si="18"/>
        <v>29790203.961599998</v>
      </c>
      <c r="J62" s="87">
        <f t="shared" si="18"/>
        <v>283781140</v>
      </c>
      <c r="K62" s="87">
        <f t="shared" si="18"/>
        <v>320688998</v>
      </c>
      <c r="L62" s="87">
        <f t="shared" si="18"/>
        <v>151767109</v>
      </c>
      <c r="M62" s="87">
        <f t="shared" si="18"/>
        <v>29231066</v>
      </c>
      <c r="N62" s="87">
        <f t="shared" si="18"/>
        <v>29231066</v>
      </c>
      <c r="O62" s="87">
        <f t="shared" si="18"/>
        <v>8695671</v>
      </c>
      <c r="P62" s="87">
        <f t="shared" si="18"/>
        <v>28125240</v>
      </c>
      <c r="Q62" s="87">
        <f t="shared" si="18"/>
        <v>28125240</v>
      </c>
      <c r="R62" s="87">
        <f t="shared" si="18"/>
        <v>16377679</v>
      </c>
      <c r="S62" s="87">
        <f t="shared" si="18"/>
        <v>12389170</v>
      </c>
      <c r="T62" s="87">
        <f t="shared" si="18"/>
        <v>18570723</v>
      </c>
      <c r="U62" s="87">
        <f t="shared" si="18"/>
        <v>17258282</v>
      </c>
      <c r="V62" s="87">
        <f t="shared" si="18"/>
        <v>5000000</v>
      </c>
      <c r="W62" s="87">
        <f t="shared" si="18"/>
        <v>5000000</v>
      </c>
      <c r="X62" s="87">
        <f t="shared" si="18"/>
        <v>1600000</v>
      </c>
      <c r="Y62" s="87">
        <f t="shared" si="18"/>
        <v>0</v>
      </c>
      <c r="Z62" s="87">
        <f t="shared" si="18"/>
        <v>0</v>
      </c>
      <c r="AA62" s="87">
        <f t="shared" si="18"/>
        <v>0</v>
      </c>
      <c r="AB62" s="87">
        <f t="shared" si="18"/>
        <v>222480465</v>
      </c>
      <c r="AC62" s="87">
        <f t="shared" si="18"/>
        <v>377145259</v>
      </c>
      <c r="AD62" s="87">
        <f t="shared" si="18"/>
        <v>92058187</v>
      </c>
      <c r="AE62" s="87">
        <f t="shared" si="18"/>
        <v>85862019</v>
      </c>
      <c r="AF62" s="87">
        <f t="shared" si="18"/>
        <v>109511581</v>
      </c>
      <c r="AG62" s="87">
        <f t="shared" si="18"/>
        <v>47613577</v>
      </c>
      <c r="AH62" s="87">
        <f t="shared" si="18"/>
        <v>142901586</v>
      </c>
      <c r="AI62" s="87">
        <f t="shared" si="18"/>
        <v>106239850</v>
      </c>
      <c r="AJ62" s="87">
        <f t="shared" si="18"/>
        <v>0</v>
      </c>
      <c r="AK62" s="87">
        <f t="shared" si="18"/>
        <v>21732794</v>
      </c>
      <c r="AL62" s="87">
        <f t="shared" si="18"/>
        <v>24319431</v>
      </c>
      <c r="AM62" s="87">
        <f t="shared" si="18"/>
        <v>24319431</v>
      </c>
      <c r="AN62" s="87">
        <f t="shared" si="18"/>
        <v>0</v>
      </c>
      <c r="AO62" s="87">
        <f t="shared" si="18"/>
        <v>0</v>
      </c>
      <c r="AP62" s="87">
        <f t="shared" si="18"/>
        <v>0</v>
      </c>
      <c r="AQ62" s="87">
        <f t="shared" si="18"/>
        <v>1319096589</v>
      </c>
      <c r="AR62" s="87">
        <f t="shared" si="18"/>
        <v>1553087768</v>
      </c>
      <c r="AS62" s="87">
        <f t="shared" si="18"/>
        <v>0</v>
      </c>
      <c r="AT62" s="87">
        <f t="shared" ca="1" si="18"/>
        <v>486765868</v>
      </c>
      <c r="AU62" s="87">
        <f ca="1">AU53+AU56+AU59</f>
        <v>499351768</v>
      </c>
      <c r="AV62" s="87">
        <f t="shared" si="18"/>
        <v>238225806</v>
      </c>
      <c r="AW62" s="87">
        <f t="shared" ca="1" si="18"/>
        <v>1805862457</v>
      </c>
      <c r="AX62" s="87">
        <f t="shared" ca="1" si="18"/>
        <v>2052439536</v>
      </c>
      <c r="AY62" s="87">
        <f t="shared" si="18"/>
        <v>861097277.83360004</v>
      </c>
      <c r="AZ62" s="125">
        <f>AY62-AV62</f>
        <v>622871471.83360004</v>
      </c>
    </row>
    <row r="63" spans="1:52" s="19" customFormat="1" ht="15.75" x14ac:dyDescent="0.25">
      <c r="A63" s="11" t="s">
        <v>223</v>
      </c>
      <c r="B63" s="17"/>
      <c r="C63" s="13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"/>
      <c r="AU63" s="8"/>
      <c r="AV63" s="8"/>
      <c r="AW63" s="8"/>
      <c r="AX63" s="34"/>
      <c r="AY63" s="61">
        <f t="shared" si="5"/>
        <v>0</v>
      </c>
    </row>
    <row r="64" spans="1:52" x14ac:dyDescent="0.25">
      <c r="A64" s="11" t="s">
        <v>224</v>
      </c>
      <c r="B64" s="16"/>
      <c r="C64" s="16" t="s">
        <v>85</v>
      </c>
      <c r="D64" s="61">
        <f>D51+D55+D57+D60</f>
        <v>297557977</v>
      </c>
      <c r="E64" s="61">
        <f t="shared" ref="E64:AY64" si="19">E51+E55+E57+E60</f>
        <v>330615680</v>
      </c>
      <c r="F64" s="61">
        <f t="shared" si="19"/>
        <v>165255421.87200001</v>
      </c>
      <c r="G64" s="61">
        <f t="shared" si="19"/>
        <v>38912908</v>
      </c>
      <c r="H64" s="61">
        <f t="shared" si="19"/>
        <v>41296286</v>
      </c>
      <c r="I64" s="61">
        <f t="shared" si="19"/>
        <v>20739519.961599998</v>
      </c>
      <c r="J64" s="61">
        <f t="shared" si="19"/>
        <v>177669363</v>
      </c>
      <c r="K64" s="61">
        <f t="shared" si="19"/>
        <v>208227221</v>
      </c>
      <c r="L64" s="61">
        <f t="shared" si="19"/>
        <v>97219754</v>
      </c>
      <c r="M64" s="61">
        <f t="shared" si="19"/>
        <v>29231066</v>
      </c>
      <c r="N64" s="61">
        <f t="shared" si="19"/>
        <v>29231066</v>
      </c>
      <c r="O64" s="61">
        <f t="shared" si="19"/>
        <v>8695671</v>
      </c>
      <c r="P64" s="61">
        <f t="shared" si="19"/>
        <v>24825240</v>
      </c>
      <c r="Q64" s="61">
        <f t="shared" si="19"/>
        <v>24825240</v>
      </c>
      <c r="R64" s="61">
        <f t="shared" si="19"/>
        <v>13251545</v>
      </c>
      <c r="S64" s="61">
        <f t="shared" si="19"/>
        <v>12389170</v>
      </c>
      <c r="T64" s="61">
        <f t="shared" si="19"/>
        <v>18570723</v>
      </c>
      <c r="U64" s="61">
        <f t="shared" si="19"/>
        <v>17258282</v>
      </c>
      <c r="V64" s="61">
        <f t="shared" si="19"/>
        <v>5000000</v>
      </c>
      <c r="W64" s="61">
        <f t="shared" si="19"/>
        <v>5000000</v>
      </c>
      <c r="X64" s="61">
        <f t="shared" si="19"/>
        <v>1600000</v>
      </c>
      <c r="Y64" s="61">
        <f t="shared" si="19"/>
        <v>0</v>
      </c>
      <c r="Z64" s="61">
        <f t="shared" si="19"/>
        <v>0</v>
      </c>
      <c r="AA64" s="61">
        <f t="shared" si="19"/>
        <v>0</v>
      </c>
      <c r="AB64" s="61">
        <f t="shared" si="19"/>
        <v>158632668</v>
      </c>
      <c r="AC64" s="61">
        <f t="shared" si="19"/>
        <v>313297462</v>
      </c>
      <c r="AD64" s="61">
        <f t="shared" si="19"/>
        <v>58660877</v>
      </c>
      <c r="AE64" s="61">
        <f t="shared" si="19"/>
        <v>42358968</v>
      </c>
      <c r="AF64" s="61">
        <f t="shared" si="19"/>
        <v>62358534</v>
      </c>
      <c r="AG64" s="61">
        <f t="shared" si="19"/>
        <v>47463378</v>
      </c>
      <c r="AH64" s="61">
        <f t="shared" si="19"/>
        <v>142901586</v>
      </c>
      <c r="AI64" s="61">
        <f t="shared" si="19"/>
        <v>106239850</v>
      </c>
      <c r="AJ64" s="61">
        <f t="shared" si="19"/>
        <v>0</v>
      </c>
      <c r="AK64" s="61">
        <f t="shared" si="19"/>
        <v>21732794</v>
      </c>
      <c r="AL64" s="61">
        <f t="shared" si="19"/>
        <v>24319431</v>
      </c>
      <c r="AM64" s="61">
        <f t="shared" si="19"/>
        <v>24319431</v>
      </c>
      <c r="AN64" s="61">
        <f t="shared" si="19"/>
        <v>0</v>
      </c>
      <c r="AO64" s="61">
        <f t="shared" si="19"/>
        <v>0</v>
      </c>
      <c r="AP64" s="61">
        <f t="shared" si="19"/>
        <v>0</v>
      </c>
      <c r="AQ64" s="61">
        <f t="shared" si="19"/>
        <v>951211740</v>
      </c>
      <c r="AR64" s="61">
        <f t="shared" si="19"/>
        <v>1163981493</v>
      </c>
      <c r="AS64" s="61">
        <f t="shared" si="19"/>
        <v>0</v>
      </c>
      <c r="AT64" s="61">
        <f t="shared" ca="1" si="19"/>
        <v>486765868</v>
      </c>
      <c r="AU64" s="61">
        <f ca="1">AU55+AU57+AU60</f>
        <v>316429011</v>
      </c>
      <c r="AV64" s="61">
        <f t="shared" si="19"/>
        <v>238225806</v>
      </c>
      <c r="AW64" s="61">
        <f t="shared" ca="1" si="19"/>
        <v>1437977608</v>
      </c>
      <c r="AX64" s="61">
        <f t="shared" ca="1" si="19"/>
        <v>1663333261</v>
      </c>
      <c r="AY64" s="61">
        <f t="shared" si="19"/>
        <v>692689685.83360004</v>
      </c>
    </row>
    <row r="65" spans="1:51" x14ac:dyDescent="0.25">
      <c r="A65" s="11" t="s">
        <v>225</v>
      </c>
      <c r="B65" s="16"/>
      <c r="C65" s="16" t="s">
        <v>112</v>
      </c>
      <c r="D65" s="61">
        <f>D54</f>
        <v>12329631</v>
      </c>
      <c r="E65" s="61">
        <f t="shared" ref="E65:AY65" si="20">E54</f>
        <v>12329631</v>
      </c>
      <c r="F65" s="61">
        <f t="shared" si="20"/>
        <v>6188871</v>
      </c>
      <c r="G65" s="61">
        <f t="shared" si="20"/>
        <v>1626554</v>
      </c>
      <c r="H65" s="61">
        <f t="shared" si="20"/>
        <v>1626554</v>
      </c>
      <c r="I65" s="61">
        <f t="shared" si="20"/>
        <v>851368</v>
      </c>
      <c r="J65" s="61">
        <f t="shared" si="20"/>
        <v>937561</v>
      </c>
      <c r="K65" s="61">
        <f t="shared" si="20"/>
        <v>937561</v>
      </c>
      <c r="L65" s="61">
        <f t="shared" si="20"/>
        <v>272022</v>
      </c>
      <c r="M65" s="61">
        <f t="shared" si="20"/>
        <v>0</v>
      </c>
      <c r="N65" s="61">
        <f t="shared" si="20"/>
        <v>0</v>
      </c>
      <c r="O65" s="61">
        <f t="shared" si="20"/>
        <v>0</v>
      </c>
      <c r="P65" s="61">
        <f t="shared" si="20"/>
        <v>0</v>
      </c>
      <c r="Q65" s="61">
        <f t="shared" si="20"/>
        <v>0</v>
      </c>
      <c r="R65" s="61">
        <f t="shared" si="20"/>
        <v>0</v>
      </c>
      <c r="S65" s="61">
        <f t="shared" si="20"/>
        <v>0</v>
      </c>
      <c r="T65" s="61">
        <f t="shared" si="20"/>
        <v>0</v>
      </c>
      <c r="U65" s="61">
        <f t="shared" si="20"/>
        <v>0</v>
      </c>
      <c r="V65" s="61">
        <f t="shared" si="20"/>
        <v>0</v>
      </c>
      <c r="W65" s="61">
        <f t="shared" si="20"/>
        <v>0</v>
      </c>
      <c r="X65" s="61">
        <f t="shared" si="20"/>
        <v>0</v>
      </c>
      <c r="Y65" s="61">
        <f t="shared" si="20"/>
        <v>0</v>
      </c>
      <c r="Z65" s="61">
        <f t="shared" si="20"/>
        <v>0</v>
      </c>
      <c r="AA65" s="61">
        <f t="shared" si="20"/>
        <v>0</v>
      </c>
      <c r="AB65" s="61">
        <f t="shared" si="20"/>
        <v>0</v>
      </c>
      <c r="AC65" s="61">
        <f t="shared" si="20"/>
        <v>0</v>
      </c>
      <c r="AD65" s="61">
        <f t="shared" si="20"/>
        <v>0</v>
      </c>
      <c r="AE65" s="61">
        <f t="shared" si="20"/>
        <v>0</v>
      </c>
      <c r="AF65" s="61">
        <f t="shared" si="20"/>
        <v>0</v>
      </c>
      <c r="AG65" s="61">
        <f t="shared" si="20"/>
        <v>0</v>
      </c>
      <c r="AH65" s="61">
        <f t="shared" si="20"/>
        <v>0</v>
      </c>
      <c r="AI65" s="61">
        <f t="shared" si="20"/>
        <v>0</v>
      </c>
      <c r="AJ65" s="61">
        <f t="shared" si="20"/>
        <v>0</v>
      </c>
      <c r="AK65" s="61">
        <f t="shared" si="20"/>
        <v>0</v>
      </c>
      <c r="AL65" s="61">
        <f t="shared" si="20"/>
        <v>0</v>
      </c>
      <c r="AM65" s="61">
        <f t="shared" si="20"/>
        <v>0</v>
      </c>
      <c r="AN65" s="61">
        <f t="shared" si="20"/>
        <v>0</v>
      </c>
      <c r="AO65" s="61">
        <f t="shared" si="20"/>
        <v>0</v>
      </c>
      <c r="AP65" s="61">
        <f t="shared" si="20"/>
        <v>0</v>
      </c>
      <c r="AQ65" s="61">
        <f t="shared" si="20"/>
        <v>14893746</v>
      </c>
      <c r="AR65" s="61">
        <f t="shared" si="20"/>
        <v>14893746</v>
      </c>
      <c r="AS65" s="61">
        <f t="shared" si="20"/>
        <v>0</v>
      </c>
      <c r="AT65" s="61">
        <f t="shared" si="20"/>
        <v>0</v>
      </c>
      <c r="AU65" s="61">
        <f t="shared" si="20"/>
        <v>13956185</v>
      </c>
      <c r="AV65" s="61">
        <f t="shared" si="20"/>
        <v>0</v>
      </c>
      <c r="AW65" s="61">
        <f t="shared" si="20"/>
        <v>14893746</v>
      </c>
      <c r="AX65" s="61">
        <f t="shared" si="20"/>
        <v>14893746</v>
      </c>
      <c r="AY65" s="61">
        <f t="shared" si="20"/>
        <v>7312261</v>
      </c>
    </row>
    <row r="66" spans="1:51" x14ac:dyDescent="0.25">
      <c r="A66" s="11" t="s">
        <v>226</v>
      </c>
      <c r="B66" s="16"/>
      <c r="C66" s="16" t="s">
        <v>86</v>
      </c>
      <c r="D66" s="61">
        <f>D52+D58+D61</f>
        <v>120947105</v>
      </c>
      <c r="E66" s="61">
        <f t="shared" ref="E66:AY66" si="21">E52+E58+E61</f>
        <v>130926397</v>
      </c>
      <c r="F66" s="61">
        <f t="shared" si="21"/>
        <v>61947039</v>
      </c>
      <c r="G66" s="61">
        <f t="shared" si="21"/>
        <v>16218934</v>
      </c>
      <c r="H66" s="61">
        <f t="shared" si="21"/>
        <v>17461072</v>
      </c>
      <c r="I66" s="61">
        <f t="shared" si="21"/>
        <v>8199316</v>
      </c>
      <c r="J66" s="61">
        <f t="shared" si="21"/>
        <v>105174216</v>
      </c>
      <c r="K66" s="61">
        <f t="shared" si="21"/>
        <v>111524216</v>
      </c>
      <c r="L66" s="61">
        <f t="shared" si="21"/>
        <v>54275333</v>
      </c>
      <c r="M66" s="61">
        <f t="shared" si="21"/>
        <v>0</v>
      </c>
      <c r="N66" s="61">
        <f t="shared" si="21"/>
        <v>0</v>
      </c>
      <c r="O66" s="61">
        <f t="shared" si="21"/>
        <v>0</v>
      </c>
      <c r="P66" s="61">
        <f t="shared" si="21"/>
        <v>3300000</v>
      </c>
      <c r="Q66" s="61">
        <f t="shared" si="21"/>
        <v>3300000</v>
      </c>
      <c r="R66" s="61">
        <f t="shared" si="21"/>
        <v>3126134</v>
      </c>
      <c r="S66" s="61">
        <f t="shared" si="21"/>
        <v>0</v>
      </c>
      <c r="T66" s="61">
        <f t="shared" si="21"/>
        <v>0</v>
      </c>
      <c r="U66" s="61">
        <f t="shared" si="21"/>
        <v>0</v>
      </c>
      <c r="V66" s="61">
        <f t="shared" si="21"/>
        <v>0</v>
      </c>
      <c r="W66" s="61">
        <f t="shared" si="21"/>
        <v>0</v>
      </c>
      <c r="X66" s="61">
        <f t="shared" si="21"/>
        <v>0</v>
      </c>
      <c r="Y66" s="61">
        <f t="shared" si="21"/>
        <v>0</v>
      </c>
      <c r="Z66" s="61">
        <f t="shared" si="21"/>
        <v>0</v>
      </c>
      <c r="AA66" s="61">
        <f t="shared" si="21"/>
        <v>0</v>
      </c>
      <c r="AB66" s="61">
        <f t="shared" si="21"/>
        <v>63847797</v>
      </c>
      <c r="AC66" s="61">
        <f t="shared" si="21"/>
        <v>63847797</v>
      </c>
      <c r="AD66" s="61">
        <f t="shared" si="21"/>
        <v>33397310</v>
      </c>
      <c r="AE66" s="61">
        <f t="shared" si="21"/>
        <v>43503051</v>
      </c>
      <c r="AF66" s="61">
        <f t="shared" si="21"/>
        <v>47153047</v>
      </c>
      <c r="AG66" s="61">
        <f t="shared" si="21"/>
        <v>150199</v>
      </c>
      <c r="AH66" s="61">
        <f t="shared" si="21"/>
        <v>0</v>
      </c>
      <c r="AI66" s="61">
        <f t="shared" si="21"/>
        <v>0</v>
      </c>
      <c r="AJ66" s="61">
        <f t="shared" si="21"/>
        <v>0</v>
      </c>
      <c r="AK66" s="61">
        <f t="shared" si="21"/>
        <v>0</v>
      </c>
      <c r="AL66" s="61">
        <f t="shared" si="21"/>
        <v>0</v>
      </c>
      <c r="AM66" s="61">
        <f t="shared" si="21"/>
        <v>0</v>
      </c>
      <c r="AN66" s="61">
        <f t="shared" si="21"/>
        <v>0</v>
      </c>
      <c r="AO66" s="61">
        <f t="shared" si="21"/>
        <v>0</v>
      </c>
      <c r="AP66" s="61">
        <f t="shared" si="21"/>
        <v>0</v>
      </c>
      <c r="AQ66" s="61">
        <f t="shared" si="21"/>
        <v>352991103</v>
      </c>
      <c r="AR66" s="61">
        <f t="shared" si="21"/>
        <v>374212529</v>
      </c>
      <c r="AS66" s="61">
        <f t="shared" si="21"/>
        <v>0</v>
      </c>
      <c r="AT66" s="61">
        <f t="shared" si="21"/>
        <v>0</v>
      </c>
      <c r="AU66" s="61">
        <f t="shared" si="21"/>
        <v>168966572</v>
      </c>
      <c r="AV66" s="61">
        <f t="shared" si="21"/>
        <v>0</v>
      </c>
      <c r="AW66" s="61">
        <f t="shared" si="21"/>
        <v>352991103</v>
      </c>
      <c r="AX66" s="61">
        <f t="shared" si="21"/>
        <v>374212529</v>
      </c>
      <c r="AY66" s="61">
        <f t="shared" si="21"/>
        <v>161095331</v>
      </c>
    </row>
    <row r="67" spans="1:51" s="19" customFormat="1" x14ac:dyDescent="0.25">
      <c r="A67" s="11" t="s">
        <v>227</v>
      </c>
      <c r="B67" s="21"/>
      <c r="C67" s="21" t="s">
        <v>87</v>
      </c>
      <c r="D67" s="36">
        <f>SUM(D64:D66)</f>
        <v>430834713</v>
      </c>
      <c r="E67" s="36">
        <f>SUM(E64:E66)</f>
        <v>473871708</v>
      </c>
      <c r="F67" s="36">
        <f t="shared" ref="F67:AY67" si="22">SUM(F64:F66)</f>
        <v>233391331.87200001</v>
      </c>
      <c r="G67" s="36">
        <f t="shared" si="22"/>
        <v>56758396</v>
      </c>
      <c r="H67" s="36">
        <f t="shared" si="22"/>
        <v>60383912</v>
      </c>
      <c r="I67" s="36">
        <f t="shared" si="22"/>
        <v>29790203.961599998</v>
      </c>
      <c r="J67" s="36">
        <f t="shared" si="22"/>
        <v>283781140</v>
      </c>
      <c r="K67" s="36">
        <f t="shared" si="22"/>
        <v>320688998</v>
      </c>
      <c r="L67" s="36">
        <f t="shared" si="22"/>
        <v>151767109</v>
      </c>
      <c r="M67" s="36">
        <f t="shared" si="22"/>
        <v>29231066</v>
      </c>
      <c r="N67" s="36">
        <f t="shared" si="22"/>
        <v>29231066</v>
      </c>
      <c r="O67" s="36">
        <f t="shared" si="22"/>
        <v>8695671</v>
      </c>
      <c r="P67" s="36">
        <f t="shared" si="22"/>
        <v>28125240</v>
      </c>
      <c r="Q67" s="36">
        <f t="shared" si="22"/>
        <v>28125240</v>
      </c>
      <c r="R67" s="36">
        <f t="shared" si="22"/>
        <v>16377679</v>
      </c>
      <c r="S67" s="36">
        <f t="shared" si="22"/>
        <v>12389170</v>
      </c>
      <c r="T67" s="36">
        <f t="shared" si="22"/>
        <v>18570723</v>
      </c>
      <c r="U67" s="36">
        <f t="shared" si="22"/>
        <v>17258282</v>
      </c>
      <c r="V67" s="36">
        <f t="shared" si="22"/>
        <v>5000000</v>
      </c>
      <c r="W67" s="36">
        <f t="shared" si="22"/>
        <v>5000000</v>
      </c>
      <c r="X67" s="36">
        <f t="shared" si="22"/>
        <v>1600000</v>
      </c>
      <c r="Y67" s="36">
        <f t="shared" si="22"/>
        <v>0</v>
      </c>
      <c r="Z67" s="36">
        <f t="shared" si="22"/>
        <v>0</v>
      </c>
      <c r="AA67" s="36">
        <f t="shared" si="22"/>
        <v>0</v>
      </c>
      <c r="AB67" s="36">
        <f t="shared" si="22"/>
        <v>222480465</v>
      </c>
      <c r="AC67" s="36">
        <f t="shared" si="22"/>
        <v>377145259</v>
      </c>
      <c r="AD67" s="36">
        <f t="shared" si="22"/>
        <v>92058187</v>
      </c>
      <c r="AE67" s="36">
        <f t="shared" si="22"/>
        <v>85862019</v>
      </c>
      <c r="AF67" s="36">
        <f t="shared" si="22"/>
        <v>109511581</v>
      </c>
      <c r="AG67" s="36">
        <f t="shared" si="22"/>
        <v>47613577</v>
      </c>
      <c r="AH67" s="36">
        <f t="shared" si="22"/>
        <v>142901586</v>
      </c>
      <c r="AI67" s="36">
        <f t="shared" si="22"/>
        <v>106239850</v>
      </c>
      <c r="AJ67" s="36">
        <f t="shared" si="22"/>
        <v>0</v>
      </c>
      <c r="AK67" s="36">
        <f t="shared" si="22"/>
        <v>21732794</v>
      </c>
      <c r="AL67" s="36">
        <f t="shared" si="22"/>
        <v>24319431</v>
      </c>
      <c r="AM67" s="36">
        <f t="shared" si="22"/>
        <v>24319431</v>
      </c>
      <c r="AN67" s="36">
        <f t="shared" si="22"/>
        <v>0</v>
      </c>
      <c r="AO67" s="36">
        <f t="shared" si="22"/>
        <v>0</v>
      </c>
      <c r="AP67" s="36">
        <f t="shared" si="22"/>
        <v>0</v>
      </c>
      <c r="AQ67" s="36">
        <f t="shared" si="22"/>
        <v>1319096589</v>
      </c>
      <c r="AR67" s="36">
        <f t="shared" si="22"/>
        <v>1553087768</v>
      </c>
      <c r="AS67" s="36">
        <f t="shared" si="22"/>
        <v>0</v>
      </c>
      <c r="AT67" s="36">
        <f t="shared" ca="1" si="22"/>
        <v>486765868</v>
      </c>
      <c r="AU67" s="36">
        <f t="shared" ca="1" si="22"/>
        <v>499351768</v>
      </c>
      <c r="AV67" s="36">
        <f t="shared" si="22"/>
        <v>238225806</v>
      </c>
      <c r="AW67" s="36">
        <f t="shared" ca="1" si="22"/>
        <v>1805862457</v>
      </c>
      <c r="AX67" s="36">
        <f t="shared" ca="1" si="22"/>
        <v>2052439536</v>
      </c>
      <c r="AY67" s="36">
        <f t="shared" si="22"/>
        <v>861097277.83360004</v>
      </c>
    </row>
    <row r="68" spans="1:51" x14ac:dyDescent="0.25">
      <c r="AQ68" s="114"/>
      <c r="AT68" s="22"/>
      <c r="AU68" s="22"/>
      <c r="AV68" s="22"/>
      <c r="AW68" s="22"/>
      <c r="AX68" s="22"/>
    </row>
    <row r="69" spans="1:51" x14ac:dyDescent="0.25">
      <c r="J69" s="130"/>
      <c r="P69" s="22"/>
      <c r="AB69" s="22"/>
      <c r="AL69" s="22"/>
      <c r="AM69" s="22"/>
      <c r="AN69" s="22"/>
      <c r="AO69" s="22"/>
      <c r="AP69" s="22"/>
      <c r="AQ69" s="22"/>
      <c r="AR69" s="22"/>
      <c r="AS69" s="22"/>
      <c r="AX69" s="22"/>
    </row>
    <row r="70" spans="1:51" x14ac:dyDescent="0.25">
      <c r="P70" s="22"/>
      <c r="AQ70" s="22"/>
      <c r="AR70" s="22"/>
      <c r="AS70" s="22"/>
      <c r="AU70" s="22"/>
      <c r="AV70" s="22"/>
      <c r="AW70" s="22"/>
      <c r="AX70" s="22"/>
    </row>
    <row r="71" spans="1:51" x14ac:dyDescent="0.25">
      <c r="P71" s="22"/>
      <c r="AK71" s="48"/>
      <c r="AL71" s="48"/>
      <c r="AM71" s="362"/>
      <c r="AN71" s="48"/>
      <c r="AO71" s="48"/>
      <c r="AP71" s="362"/>
      <c r="AQ71" s="48"/>
      <c r="AU71" s="22"/>
      <c r="AV71" s="22"/>
      <c r="AW71" s="22"/>
    </row>
    <row r="72" spans="1:51" x14ac:dyDescent="0.25">
      <c r="AK72" s="48"/>
      <c r="AL72" s="48"/>
      <c r="AM72" s="362"/>
      <c r="AN72" s="48"/>
      <c r="AO72" s="48"/>
      <c r="AP72" s="362"/>
      <c r="AQ72" s="48"/>
      <c r="AU72" s="22"/>
      <c r="AV72" s="22"/>
    </row>
    <row r="73" spans="1:51" x14ac:dyDescent="0.25">
      <c r="AB73" s="19"/>
      <c r="AC73" s="19"/>
      <c r="AD73" s="19"/>
      <c r="AK73" s="48"/>
      <c r="AL73" s="48"/>
      <c r="AM73" s="362"/>
      <c r="AN73" s="48"/>
      <c r="AO73" s="48"/>
      <c r="AP73" s="362"/>
      <c r="AQ73" s="49"/>
    </row>
  </sheetData>
  <mergeCells count="33">
    <mergeCell ref="S4:T4"/>
    <mergeCell ref="V4:W4"/>
    <mergeCell ref="Y4:Z4"/>
    <mergeCell ref="AB4:AC4"/>
    <mergeCell ref="AE4:AF4"/>
    <mergeCell ref="D4:E4"/>
    <mergeCell ref="G4:H4"/>
    <mergeCell ref="J4:K4"/>
    <mergeCell ref="M4:N4"/>
    <mergeCell ref="P4:Q4"/>
    <mergeCell ref="AT5:AU5"/>
    <mergeCell ref="AT4:AU4"/>
    <mergeCell ref="AN5:AO5"/>
    <mergeCell ref="AH5:AI5"/>
    <mergeCell ref="AN4:AO4"/>
    <mergeCell ref="AQ5:AR5"/>
    <mergeCell ref="AK4:AL4"/>
    <mergeCell ref="AH1:AW1"/>
    <mergeCell ref="C3:AX3"/>
    <mergeCell ref="B2:M2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4:AI4"/>
    <mergeCell ref="AK5:AL5"/>
    <mergeCell ref="AQ4:AR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30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I29"/>
  <sheetViews>
    <sheetView topLeftCell="G1" zoomScaleNormal="100" zoomScaleSheetLayoutView="100" workbookViewId="0">
      <selection activeCell="T2" sqref="T2"/>
    </sheetView>
  </sheetViews>
  <sheetFormatPr defaultColWidth="9.28515625" defaultRowHeight="15" x14ac:dyDescent="0.25"/>
  <cols>
    <col min="1" max="1" width="5.28515625" style="42" customWidth="1"/>
    <col min="2" max="2" width="11.28515625" style="57" bestFit="1" customWidth="1"/>
    <col min="3" max="3" width="35.85546875" style="42" customWidth="1"/>
    <col min="4" max="4" width="12.28515625" style="42" customWidth="1"/>
    <col min="5" max="5" width="12.42578125" style="42" bestFit="1" customWidth="1"/>
    <col min="6" max="6" width="12.42578125" style="306" customWidth="1"/>
    <col min="7" max="8" width="11.28515625" style="42" bestFit="1" customWidth="1"/>
    <col min="9" max="9" width="11.28515625" style="306" customWidth="1"/>
    <col min="10" max="10" width="10.5703125" style="42" bestFit="1" customWidth="1"/>
    <col min="11" max="11" width="10.140625" style="42" bestFit="1" customWidth="1"/>
    <col min="12" max="12" width="10" style="306" customWidth="1"/>
    <col min="13" max="13" width="8.7109375" style="42" customWidth="1"/>
    <col min="14" max="14" width="7.85546875" style="42" bestFit="1" customWidth="1"/>
    <col min="15" max="15" width="7.85546875" style="306" customWidth="1"/>
    <col min="16" max="16" width="8.28515625" style="42" customWidth="1"/>
    <col min="17" max="17" width="7.85546875" style="42" bestFit="1" customWidth="1"/>
    <col min="18" max="18" width="7.85546875" style="306" customWidth="1"/>
    <col min="19" max="19" width="8.42578125" style="42" customWidth="1"/>
    <col min="20" max="20" width="8.42578125" style="42" bestFit="1" customWidth="1"/>
    <col min="21" max="21" width="8.42578125" style="306" customWidth="1"/>
    <col min="22" max="22" width="8.42578125" style="42" customWidth="1"/>
    <col min="23" max="23" width="8.140625" style="42" bestFit="1" customWidth="1"/>
    <col min="24" max="24" width="8.140625" style="306" customWidth="1"/>
    <col min="25" max="25" width="9.28515625" style="42" customWidth="1"/>
    <col min="26" max="26" width="8" style="42" bestFit="1" customWidth="1"/>
    <col min="27" max="27" width="8" style="306" customWidth="1"/>
    <col min="28" max="28" width="8.28515625" style="42" customWidth="1"/>
    <col min="29" max="29" width="8.140625" style="42" bestFit="1" customWidth="1"/>
    <col min="30" max="30" width="8.140625" style="306" customWidth="1"/>
    <col min="31" max="31" width="12.42578125" style="42" bestFit="1" customWidth="1"/>
    <col min="32" max="32" width="13.42578125" style="42" customWidth="1"/>
    <col min="33" max="33" width="10.140625" style="42" bestFit="1" customWidth="1"/>
    <col min="34" max="16384" width="9.28515625" style="42"/>
  </cols>
  <sheetData>
    <row r="1" spans="1:35" ht="23.25" customHeight="1" x14ac:dyDescent="0.25">
      <c r="C1" s="306"/>
      <c r="Q1" s="306"/>
      <c r="S1" s="306"/>
      <c r="T1" s="543" t="s">
        <v>423</v>
      </c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</row>
    <row r="2" spans="1:35" x14ac:dyDescent="0.25">
      <c r="AE2" s="318"/>
    </row>
    <row r="3" spans="1:35" ht="48" customHeight="1" x14ac:dyDescent="0.25">
      <c r="A3" s="316"/>
      <c r="B3" s="317"/>
      <c r="C3" s="544" t="s">
        <v>368</v>
      </c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409"/>
      <c r="AH3" s="314"/>
      <c r="AI3" s="314"/>
    </row>
    <row r="4" spans="1:35" ht="48" customHeight="1" x14ac:dyDescent="0.25">
      <c r="A4" s="315" t="s">
        <v>53</v>
      </c>
      <c r="B4" s="315" t="s">
        <v>61</v>
      </c>
      <c r="C4" s="407" t="s">
        <v>54</v>
      </c>
      <c r="D4" s="548" t="s">
        <v>55</v>
      </c>
      <c r="E4" s="549"/>
      <c r="F4" s="369"/>
      <c r="G4" s="548" t="s">
        <v>56</v>
      </c>
      <c r="H4" s="549"/>
      <c r="I4" s="369"/>
      <c r="J4" s="548" t="s">
        <v>63</v>
      </c>
      <c r="K4" s="549"/>
      <c r="L4" s="369"/>
      <c r="M4" s="548" t="s">
        <v>65</v>
      </c>
      <c r="N4" s="549"/>
      <c r="O4" s="369"/>
      <c r="P4" s="548" t="s">
        <v>66</v>
      </c>
      <c r="Q4" s="549"/>
      <c r="R4" s="369"/>
      <c r="S4" s="548" t="s">
        <v>67</v>
      </c>
      <c r="T4" s="549"/>
      <c r="U4" s="369"/>
      <c r="V4" s="548" t="s">
        <v>68</v>
      </c>
      <c r="W4" s="549"/>
      <c r="X4" s="369"/>
      <c r="Y4" s="548" t="s">
        <v>99</v>
      </c>
      <c r="Z4" s="549"/>
      <c r="AA4" s="369"/>
      <c r="AB4" s="548" t="s">
        <v>93</v>
      </c>
      <c r="AC4" s="549"/>
      <c r="AD4" s="369"/>
      <c r="AE4" s="548" t="s">
        <v>180</v>
      </c>
      <c r="AF4" s="549"/>
      <c r="AG4" s="389"/>
      <c r="AH4" s="314"/>
      <c r="AI4" s="314"/>
    </row>
    <row r="5" spans="1:35" ht="57.75" customHeight="1" x14ac:dyDescent="0.25">
      <c r="A5" s="97" t="s">
        <v>185</v>
      </c>
      <c r="B5" s="97" t="s">
        <v>108</v>
      </c>
      <c r="C5" s="406" t="s">
        <v>70</v>
      </c>
      <c r="D5" s="546" t="s">
        <v>41</v>
      </c>
      <c r="E5" s="547"/>
      <c r="F5" s="408"/>
      <c r="G5" s="546" t="s">
        <v>100</v>
      </c>
      <c r="H5" s="547"/>
      <c r="I5" s="408"/>
      <c r="J5" s="546" t="s">
        <v>42</v>
      </c>
      <c r="K5" s="547"/>
      <c r="L5" s="408"/>
      <c r="M5" s="546" t="s">
        <v>101</v>
      </c>
      <c r="N5" s="547"/>
      <c r="O5" s="408"/>
      <c r="P5" s="546" t="s">
        <v>43</v>
      </c>
      <c r="Q5" s="547"/>
      <c r="R5" s="408"/>
      <c r="S5" s="546" t="s">
        <v>45</v>
      </c>
      <c r="T5" s="547"/>
      <c r="U5" s="408"/>
      <c r="V5" s="546" t="s">
        <v>46</v>
      </c>
      <c r="W5" s="547"/>
      <c r="X5" s="408"/>
      <c r="Y5" s="546" t="s">
        <v>104</v>
      </c>
      <c r="Z5" s="547"/>
      <c r="AA5" s="408"/>
      <c r="AB5" s="546" t="s">
        <v>105</v>
      </c>
      <c r="AC5" s="547"/>
      <c r="AD5" s="408"/>
      <c r="AE5" s="546" t="s">
        <v>84</v>
      </c>
      <c r="AF5" s="547"/>
      <c r="AG5" s="400"/>
      <c r="AH5" s="314"/>
      <c r="AI5" s="314"/>
    </row>
    <row r="6" spans="1:35" ht="57" x14ac:dyDescent="0.25">
      <c r="A6" s="43"/>
      <c r="B6" s="54"/>
      <c r="C6" s="58" t="s">
        <v>90</v>
      </c>
      <c r="D6" s="387" t="s">
        <v>344</v>
      </c>
      <c r="E6" s="374" t="s">
        <v>345</v>
      </c>
      <c r="F6" s="374" t="s">
        <v>410</v>
      </c>
      <c r="G6" s="387" t="s">
        <v>344</v>
      </c>
      <c r="H6" s="374" t="s">
        <v>345</v>
      </c>
      <c r="I6" s="374" t="s">
        <v>410</v>
      </c>
      <c r="J6" s="387" t="s">
        <v>344</v>
      </c>
      <c r="K6" s="374" t="s">
        <v>345</v>
      </c>
      <c r="L6" s="374" t="s">
        <v>410</v>
      </c>
      <c r="M6" s="387" t="s">
        <v>344</v>
      </c>
      <c r="N6" s="374" t="s">
        <v>345</v>
      </c>
      <c r="O6" s="374" t="s">
        <v>410</v>
      </c>
      <c r="P6" s="387" t="s">
        <v>344</v>
      </c>
      <c r="Q6" s="374" t="s">
        <v>345</v>
      </c>
      <c r="R6" s="374" t="s">
        <v>410</v>
      </c>
      <c r="S6" s="387" t="s">
        <v>344</v>
      </c>
      <c r="T6" s="374" t="s">
        <v>345</v>
      </c>
      <c r="U6" s="374" t="s">
        <v>410</v>
      </c>
      <c r="V6" s="387" t="s">
        <v>344</v>
      </c>
      <c r="W6" s="374" t="s">
        <v>345</v>
      </c>
      <c r="X6" s="374" t="s">
        <v>410</v>
      </c>
      <c r="Y6" s="387" t="s">
        <v>344</v>
      </c>
      <c r="Z6" s="374" t="s">
        <v>345</v>
      </c>
      <c r="AA6" s="374" t="s">
        <v>410</v>
      </c>
      <c r="AB6" s="387" t="s">
        <v>344</v>
      </c>
      <c r="AC6" s="374" t="s">
        <v>345</v>
      </c>
      <c r="AD6" s="374" t="s">
        <v>410</v>
      </c>
      <c r="AE6" s="387" t="s">
        <v>344</v>
      </c>
      <c r="AF6" s="374" t="s">
        <v>345</v>
      </c>
      <c r="AG6" s="374" t="s">
        <v>410</v>
      </c>
      <c r="AH6" s="314"/>
      <c r="AI6" s="314"/>
    </row>
    <row r="7" spans="1:35" x14ac:dyDescent="0.25">
      <c r="A7" s="43" t="s">
        <v>1</v>
      </c>
      <c r="B7" s="43" t="s">
        <v>77</v>
      </c>
      <c r="C7" s="59" t="s">
        <v>411</v>
      </c>
      <c r="D7" s="79">
        <v>87043670</v>
      </c>
      <c r="E7" s="79">
        <f>D7</f>
        <v>87043670</v>
      </c>
      <c r="F7" s="79">
        <f>E7*0.5016</f>
        <v>43661104.872000001</v>
      </c>
      <c r="G7" s="79">
        <v>12366313</v>
      </c>
      <c r="H7" s="79">
        <f>G7</f>
        <v>12366313</v>
      </c>
      <c r="I7" s="79">
        <f>H7*0.5232</f>
        <v>6470054.9616</v>
      </c>
      <c r="J7" s="79">
        <v>6875449</v>
      </c>
      <c r="K7" s="79">
        <f>J7</f>
        <v>6875449</v>
      </c>
      <c r="L7" s="79">
        <v>1994568</v>
      </c>
      <c r="M7" s="78"/>
      <c r="N7" s="78"/>
      <c r="O7" s="78"/>
      <c r="P7" s="78"/>
      <c r="Q7" s="78"/>
      <c r="R7" s="78"/>
      <c r="S7" s="78">
        <v>444500</v>
      </c>
      <c r="T7" s="78">
        <f>S7</f>
        <v>444500</v>
      </c>
      <c r="U7" s="78"/>
      <c r="V7" s="78"/>
      <c r="W7" s="78"/>
      <c r="X7" s="78"/>
      <c r="Y7" s="78"/>
      <c r="Z7" s="78"/>
      <c r="AA7" s="78"/>
      <c r="AB7" s="78"/>
      <c r="AC7" s="78"/>
      <c r="AD7" s="78"/>
      <c r="AE7" s="411">
        <f>D7+G7+J7+M7+P7+S7+V7+Y7+AB7</f>
        <v>106729932</v>
      </c>
      <c r="AF7" s="411">
        <f>E7+H7+K7+N7+Q7+T7+W7+Z7+AC7</f>
        <v>106729932</v>
      </c>
      <c r="AG7" s="127">
        <f>F7+I7+L7+U7+X7</f>
        <v>52125727.8336</v>
      </c>
      <c r="AH7" s="314"/>
      <c r="AI7" s="314"/>
    </row>
    <row r="8" spans="1:35" x14ac:dyDescent="0.25">
      <c r="A8" s="43" t="s">
        <v>3</v>
      </c>
      <c r="B8" s="43" t="s">
        <v>116</v>
      </c>
      <c r="C8" s="59" t="s">
        <v>412</v>
      </c>
      <c r="D8" s="79">
        <v>12329631</v>
      </c>
      <c r="E8" s="79">
        <f>D8</f>
        <v>12329631</v>
      </c>
      <c r="F8" s="79">
        <v>6188871</v>
      </c>
      <c r="G8" s="79">
        <v>1626554</v>
      </c>
      <c r="H8" s="79">
        <f>G8</f>
        <v>1626554</v>
      </c>
      <c r="I8" s="79">
        <v>851368</v>
      </c>
      <c r="J8" s="79">
        <v>937561</v>
      </c>
      <c r="K8" s="79">
        <f>J8</f>
        <v>937561</v>
      </c>
      <c r="L8" s="79">
        <v>272022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411">
        <f>D8+G8+J8+S8</f>
        <v>14893746</v>
      </c>
      <c r="AF8" s="411">
        <f t="shared" ref="AF8:AF12" si="0">E8+H8+K8+N8+Q8+T8+W8+Z8+AC8</f>
        <v>14893746</v>
      </c>
      <c r="AG8" s="127">
        <f t="shared" ref="AG8:AG14" si="1">F8+I8+L8+U8+X8</f>
        <v>7312261</v>
      </c>
      <c r="AH8" s="314"/>
      <c r="AI8" s="314"/>
    </row>
    <row r="9" spans="1:35" x14ac:dyDescent="0.25">
      <c r="A9" s="43" t="s">
        <v>4</v>
      </c>
      <c r="B9" s="43"/>
      <c r="C9" s="59" t="s">
        <v>398</v>
      </c>
      <c r="D9" s="79"/>
      <c r="E9" s="79">
        <f>1839258</f>
        <v>1839258</v>
      </c>
      <c r="F9" s="79">
        <v>1919614</v>
      </c>
      <c r="G9" s="79"/>
      <c r="H9" s="79">
        <f>252230</f>
        <v>252230</v>
      </c>
      <c r="I9" s="79">
        <v>248847</v>
      </c>
      <c r="J9" s="79"/>
      <c r="K9" s="79">
        <f>151524</f>
        <v>151524</v>
      </c>
      <c r="L9" s="79">
        <v>157759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411"/>
      <c r="AF9" s="411">
        <f t="shared" si="0"/>
        <v>2243012</v>
      </c>
      <c r="AG9" s="127">
        <f t="shared" si="1"/>
        <v>2326220</v>
      </c>
      <c r="AH9" s="314"/>
      <c r="AI9" s="314"/>
    </row>
    <row r="10" spans="1:35" ht="27.75" customHeight="1" x14ac:dyDescent="0.25">
      <c r="A10" s="43" t="s">
        <v>6</v>
      </c>
      <c r="B10" s="43"/>
      <c r="C10" s="410" t="s">
        <v>408</v>
      </c>
      <c r="D10" s="79"/>
      <c r="E10" s="79"/>
      <c r="F10" s="79"/>
      <c r="G10" s="79"/>
      <c r="H10" s="79"/>
      <c r="I10" s="79"/>
      <c r="J10" s="79"/>
      <c r="K10" s="79"/>
      <c r="L10" s="79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411">
        <f t="shared" ref="AE10" si="2">SUM(D10:AC10)</f>
        <v>0</v>
      </c>
      <c r="AF10" s="411">
        <f t="shared" si="0"/>
        <v>0</v>
      </c>
      <c r="AG10" s="127">
        <f t="shared" si="1"/>
        <v>0</v>
      </c>
      <c r="AH10" s="314"/>
      <c r="AI10" s="314"/>
    </row>
    <row r="11" spans="1:35" s="306" customFormat="1" ht="27.75" customHeight="1" x14ac:dyDescent="0.25">
      <c r="A11" s="43"/>
      <c r="B11" s="43"/>
      <c r="C11" s="319"/>
      <c r="D11" s="79"/>
      <c r="E11" s="79"/>
      <c r="F11" s="79"/>
      <c r="G11" s="79"/>
      <c r="H11" s="79"/>
      <c r="I11" s="79"/>
      <c r="J11" s="79"/>
      <c r="K11" s="79"/>
      <c r="L11" s="79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411"/>
      <c r="AF11" s="411"/>
      <c r="AG11" s="127">
        <f t="shared" si="1"/>
        <v>0</v>
      </c>
      <c r="AH11" s="314"/>
      <c r="AI11" s="314"/>
    </row>
    <row r="12" spans="1:35" ht="15.75" x14ac:dyDescent="0.25">
      <c r="A12" s="43"/>
      <c r="B12" s="43"/>
      <c r="C12" s="58" t="s">
        <v>91</v>
      </c>
      <c r="D12" s="411">
        <f>SUM(D7:D10)</f>
        <v>99373301</v>
      </c>
      <c r="E12" s="411">
        <f t="shared" ref="E12:AE12" si="3">SUM(E7:E10)</f>
        <v>101212559</v>
      </c>
      <c r="F12" s="411">
        <f>F13+F14</f>
        <v>51769589.872000001</v>
      </c>
      <c r="G12" s="411">
        <f t="shared" si="3"/>
        <v>13992867</v>
      </c>
      <c r="H12" s="411">
        <f t="shared" si="3"/>
        <v>14245097</v>
      </c>
      <c r="I12" s="411">
        <f>I13+I14</f>
        <v>7570269.9616</v>
      </c>
      <c r="J12" s="411">
        <f t="shared" si="3"/>
        <v>7813010</v>
      </c>
      <c r="K12" s="411">
        <f t="shared" si="3"/>
        <v>7964534</v>
      </c>
      <c r="L12" s="411">
        <f>L13+L14</f>
        <v>2424349</v>
      </c>
      <c r="M12" s="411">
        <f t="shared" si="3"/>
        <v>0</v>
      </c>
      <c r="N12" s="411">
        <f t="shared" si="3"/>
        <v>0</v>
      </c>
      <c r="O12" s="411"/>
      <c r="P12" s="411">
        <f t="shared" si="3"/>
        <v>0</v>
      </c>
      <c r="Q12" s="411">
        <f t="shared" si="3"/>
        <v>0</v>
      </c>
      <c r="R12" s="411"/>
      <c r="S12" s="411">
        <f t="shared" si="3"/>
        <v>444500</v>
      </c>
      <c r="T12" s="411">
        <f t="shared" si="3"/>
        <v>444500</v>
      </c>
      <c r="U12" s="411"/>
      <c r="V12" s="411">
        <f t="shared" si="3"/>
        <v>0</v>
      </c>
      <c r="W12" s="411">
        <f t="shared" si="3"/>
        <v>0</v>
      </c>
      <c r="X12" s="411"/>
      <c r="Y12" s="411">
        <f t="shared" si="3"/>
        <v>0</v>
      </c>
      <c r="Z12" s="411">
        <f t="shared" si="3"/>
        <v>0</v>
      </c>
      <c r="AA12" s="411"/>
      <c r="AB12" s="411">
        <f t="shared" si="3"/>
        <v>0</v>
      </c>
      <c r="AC12" s="411">
        <f t="shared" si="3"/>
        <v>0</v>
      </c>
      <c r="AD12" s="411"/>
      <c r="AE12" s="411">
        <f t="shared" si="3"/>
        <v>121623678</v>
      </c>
      <c r="AF12" s="411">
        <f t="shared" si="0"/>
        <v>123866690</v>
      </c>
      <c r="AG12" s="127">
        <f t="shared" si="1"/>
        <v>61764208.8336</v>
      </c>
      <c r="AH12" s="314"/>
      <c r="AI12" s="314"/>
    </row>
    <row r="13" spans="1:35" x14ac:dyDescent="0.25">
      <c r="A13" s="43" t="s">
        <v>8</v>
      </c>
      <c r="B13" s="43"/>
      <c r="C13" s="47" t="s">
        <v>112</v>
      </c>
      <c r="D13" s="127">
        <f>D8</f>
        <v>12329631</v>
      </c>
      <c r="E13" s="127">
        <f t="shared" ref="E13:AF13" si="4">E8</f>
        <v>12329631</v>
      </c>
      <c r="F13" s="127">
        <f>F8</f>
        <v>6188871</v>
      </c>
      <c r="G13" s="127">
        <f t="shared" si="4"/>
        <v>1626554</v>
      </c>
      <c r="H13" s="127">
        <f t="shared" si="4"/>
        <v>1626554</v>
      </c>
      <c r="I13" s="127">
        <f>I8</f>
        <v>851368</v>
      </c>
      <c r="J13" s="127">
        <f t="shared" si="4"/>
        <v>937561</v>
      </c>
      <c r="K13" s="127">
        <f t="shared" si="4"/>
        <v>937561</v>
      </c>
      <c r="L13" s="127">
        <f>L8</f>
        <v>272022</v>
      </c>
      <c r="M13" s="127">
        <f t="shared" si="4"/>
        <v>0</v>
      </c>
      <c r="N13" s="127">
        <f t="shared" si="4"/>
        <v>0</v>
      </c>
      <c r="O13" s="127"/>
      <c r="P13" s="127">
        <f t="shared" si="4"/>
        <v>0</v>
      </c>
      <c r="Q13" s="127">
        <f t="shared" si="4"/>
        <v>0</v>
      </c>
      <c r="R13" s="127"/>
      <c r="S13" s="127">
        <f t="shared" si="4"/>
        <v>0</v>
      </c>
      <c r="T13" s="127">
        <f t="shared" si="4"/>
        <v>0</v>
      </c>
      <c r="U13" s="127"/>
      <c r="V13" s="127">
        <f t="shared" si="4"/>
        <v>0</v>
      </c>
      <c r="W13" s="127">
        <f t="shared" si="4"/>
        <v>0</v>
      </c>
      <c r="X13" s="127"/>
      <c r="Y13" s="127">
        <f t="shared" si="4"/>
        <v>0</v>
      </c>
      <c r="Z13" s="127">
        <f t="shared" si="4"/>
        <v>0</v>
      </c>
      <c r="AA13" s="127"/>
      <c r="AB13" s="127">
        <f t="shared" si="4"/>
        <v>0</v>
      </c>
      <c r="AC13" s="127">
        <f t="shared" si="4"/>
        <v>0</v>
      </c>
      <c r="AD13" s="127"/>
      <c r="AE13" s="127">
        <f t="shared" si="4"/>
        <v>14893746</v>
      </c>
      <c r="AF13" s="127">
        <f t="shared" si="4"/>
        <v>14893746</v>
      </c>
      <c r="AG13" s="127">
        <f t="shared" si="1"/>
        <v>7312261</v>
      </c>
      <c r="AH13" s="314"/>
      <c r="AI13" s="314"/>
    </row>
    <row r="14" spans="1:35" x14ac:dyDescent="0.25">
      <c r="A14" s="43" t="s">
        <v>19</v>
      </c>
      <c r="B14" s="43"/>
      <c r="C14" s="47" t="s">
        <v>229</v>
      </c>
      <c r="D14" s="127">
        <f>D7+D9</f>
        <v>87043670</v>
      </c>
      <c r="E14" s="127">
        <f>E7+E9+E10</f>
        <v>88882928</v>
      </c>
      <c r="F14" s="127">
        <f>F7+F9</f>
        <v>45580718.872000001</v>
      </c>
      <c r="G14" s="127">
        <f t="shared" ref="G14:AF14" si="5">G7+G9</f>
        <v>12366313</v>
      </c>
      <c r="H14" s="127">
        <f t="shared" si="5"/>
        <v>12618543</v>
      </c>
      <c r="I14" s="127">
        <f>I7+I9</f>
        <v>6718901.9616</v>
      </c>
      <c r="J14" s="127">
        <f t="shared" si="5"/>
        <v>6875449</v>
      </c>
      <c r="K14" s="127">
        <f t="shared" si="5"/>
        <v>7026973</v>
      </c>
      <c r="L14" s="127">
        <f>L7+L9</f>
        <v>2152327</v>
      </c>
      <c r="M14" s="127">
        <f t="shared" si="5"/>
        <v>0</v>
      </c>
      <c r="N14" s="127">
        <f t="shared" si="5"/>
        <v>0</v>
      </c>
      <c r="O14" s="127"/>
      <c r="P14" s="127">
        <f t="shared" si="5"/>
        <v>0</v>
      </c>
      <c r="Q14" s="127">
        <f t="shared" si="5"/>
        <v>0</v>
      </c>
      <c r="R14" s="127"/>
      <c r="S14" s="127">
        <f t="shared" si="5"/>
        <v>444500</v>
      </c>
      <c r="T14" s="127">
        <f t="shared" si="5"/>
        <v>444500</v>
      </c>
      <c r="U14" s="127"/>
      <c r="V14" s="127">
        <f t="shared" si="5"/>
        <v>0</v>
      </c>
      <c r="W14" s="127">
        <f t="shared" si="5"/>
        <v>0</v>
      </c>
      <c r="X14" s="127"/>
      <c r="Y14" s="127">
        <f t="shared" si="5"/>
        <v>0</v>
      </c>
      <c r="Z14" s="127">
        <f t="shared" si="5"/>
        <v>0</v>
      </c>
      <c r="AA14" s="127"/>
      <c r="AB14" s="127">
        <f t="shared" si="5"/>
        <v>0</v>
      </c>
      <c r="AC14" s="127">
        <f t="shared" si="5"/>
        <v>0</v>
      </c>
      <c r="AD14" s="127"/>
      <c r="AE14" s="127">
        <f t="shared" si="5"/>
        <v>106729932</v>
      </c>
      <c r="AF14" s="127">
        <f t="shared" si="5"/>
        <v>108972944</v>
      </c>
      <c r="AG14" s="127">
        <f t="shared" si="1"/>
        <v>54451947.8336</v>
      </c>
      <c r="AH14" s="314"/>
      <c r="AI14" s="314"/>
    </row>
    <row r="15" spans="1:35" x14ac:dyDescent="0.25">
      <c r="AG15" s="314"/>
      <c r="AH15" s="314"/>
      <c r="AI15" s="314"/>
    </row>
    <row r="16" spans="1:35" x14ac:dyDescent="0.25">
      <c r="AF16" s="66"/>
      <c r="AG16" s="314"/>
      <c r="AH16" s="314"/>
      <c r="AI16" s="314"/>
    </row>
    <row r="17" spans="3:35" x14ac:dyDescent="0.25">
      <c r="C17" s="314"/>
      <c r="D17" s="66"/>
      <c r="F17" s="66"/>
      <c r="G17" s="334"/>
      <c r="L17" s="66"/>
      <c r="AC17" s="66"/>
      <c r="AD17" s="66"/>
      <c r="AE17" s="66"/>
      <c r="AG17" s="314"/>
      <c r="AH17" s="314"/>
      <c r="AI17" s="314"/>
    </row>
    <row r="18" spans="3:35" x14ac:dyDescent="0.25">
      <c r="J18" s="66"/>
      <c r="AG18" s="314"/>
      <c r="AH18" s="314"/>
      <c r="AI18" s="314"/>
    </row>
    <row r="19" spans="3:35" x14ac:dyDescent="0.25">
      <c r="AG19" s="314"/>
      <c r="AH19" s="314"/>
      <c r="AI19" s="314"/>
    </row>
    <row r="20" spans="3:35" x14ac:dyDescent="0.25">
      <c r="F20" s="66"/>
      <c r="AG20" s="314"/>
      <c r="AH20" s="314"/>
      <c r="AI20" s="314"/>
    </row>
    <row r="21" spans="3:35" x14ac:dyDescent="0.25">
      <c r="F21" s="66"/>
      <c r="AG21" s="314"/>
      <c r="AH21" s="314"/>
      <c r="AI21" s="314"/>
    </row>
    <row r="22" spans="3:35" x14ac:dyDescent="0.25">
      <c r="AG22" s="314"/>
      <c r="AH22" s="314"/>
      <c r="AI22" s="314"/>
    </row>
    <row r="23" spans="3:35" x14ac:dyDescent="0.25">
      <c r="AG23" s="314"/>
      <c r="AH23" s="314"/>
      <c r="AI23" s="314"/>
    </row>
    <row r="24" spans="3:35" x14ac:dyDescent="0.25">
      <c r="G24" s="66"/>
      <c r="AG24" s="314"/>
      <c r="AH24" s="314"/>
      <c r="AI24" s="314"/>
    </row>
    <row r="25" spans="3:35" x14ac:dyDescent="0.25">
      <c r="G25" s="66"/>
      <c r="AG25" s="314"/>
      <c r="AH25" s="314"/>
      <c r="AI25" s="314"/>
    </row>
    <row r="26" spans="3:35" x14ac:dyDescent="0.25">
      <c r="AG26" s="314"/>
      <c r="AH26" s="314"/>
      <c r="AI26" s="314"/>
    </row>
    <row r="27" spans="3:35" x14ac:dyDescent="0.25">
      <c r="AG27" s="314"/>
      <c r="AH27" s="314"/>
      <c r="AI27" s="314"/>
    </row>
    <row r="28" spans="3:35" x14ac:dyDescent="0.25">
      <c r="AG28" s="314"/>
      <c r="AH28" s="314"/>
      <c r="AI28" s="314"/>
    </row>
    <row r="29" spans="3:35" x14ac:dyDescent="0.25">
      <c r="AG29" s="314"/>
      <c r="AH29" s="314"/>
    </row>
  </sheetData>
  <mergeCells count="22">
    <mergeCell ref="AE4:AF4"/>
    <mergeCell ref="P4:Q4"/>
    <mergeCell ref="S4:T4"/>
    <mergeCell ref="V4:W4"/>
    <mergeCell ref="Y4:Z4"/>
    <mergeCell ref="AB4:AC4"/>
    <mergeCell ref="T1:AE1"/>
    <mergeCell ref="C3:AE3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D4:E4"/>
    <mergeCell ref="G4:H4"/>
    <mergeCell ref="J4:K4"/>
    <mergeCell ref="M4:N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I22"/>
  <sheetViews>
    <sheetView topLeftCell="D1" zoomScaleNormal="100" zoomScaleSheetLayoutView="100" workbookViewId="0">
      <selection activeCell="C3" sqref="C3:AH3"/>
    </sheetView>
  </sheetViews>
  <sheetFormatPr defaultColWidth="9.28515625" defaultRowHeight="15" x14ac:dyDescent="0.25"/>
  <cols>
    <col min="1" max="1" width="5.5703125" style="9" customWidth="1"/>
    <col min="2" max="2" width="14" style="60" customWidth="1"/>
    <col min="3" max="3" width="35" style="9" bestFit="1" customWidth="1"/>
    <col min="4" max="5" width="12.28515625" style="9" customWidth="1"/>
    <col min="6" max="6" width="12.28515625" style="308" customWidth="1"/>
    <col min="7" max="8" width="12.28515625" style="9" customWidth="1"/>
    <col min="9" max="9" width="12.28515625" style="308" customWidth="1"/>
    <col min="10" max="11" width="12.28515625" style="9" customWidth="1"/>
    <col min="12" max="12" width="12.28515625" style="308" customWidth="1"/>
    <col min="13" max="13" width="9.7109375" style="9" customWidth="1"/>
    <col min="14" max="14" width="8.7109375" style="9" customWidth="1"/>
    <col min="15" max="15" width="8.42578125" style="308" customWidth="1"/>
    <col min="16" max="16" width="10.140625" style="9" customWidth="1"/>
    <col min="17" max="17" width="10.28515625" style="9" customWidth="1"/>
    <col min="18" max="18" width="10.28515625" style="308" customWidth="1"/>
    <col min="19" max="19" width="9.85546875" style="9" customWidth="1"/>
    <col min="20" max="20" width="10.140625" style="9" bestFit="1" customWidth="1"/>
    <col min="21" max="21" width="10.140625" style="308" customWidth="1"/>
    <col min="22" max="22" width="10" style="9" customWidth="1"/>
    <col min="23" max="23" width="10.85546875" style="9" customWidth="1"/>
    <col min="24" max="24" width="10.85546875" style="308" customWidth="1"/>
    <col min="25" max="25" width="9.85546875" style="9" customWidth="1"/>
    <col min="26" max="26" width="7.85546875" style="9" bestFit="1" customWidth="1"/>
    <col min="27" max="27" width="7.85546875" style="308" customWidth="1"/>
    <col min="28" max="28" width="9.42578125" style="9" customWidth="1"/>
    <col min="29" max="29" width="7.85546875" style="9" bestFit="1" customWidth="1"/>
    <col min="30" max="30" width="7.85546875" style="308" customWidth="1"/>
    <col min="31" max="31" width="12.28515625" style="9" customWidth="1"/>
    <col min="32" max="32" width="11.7109375" style="22" hidden="1" customWidth="1"/>
    <col min="33" max="33" width="12" style="9" hidden="1" customWidth="1"/>
    <col min="34" max="34" width="12.42578125" style="19" bestFit="1" customWidth="1"/>
    <col min="35" max="35" width="11.140625" style="9" bestFit="1" customWidth="1"/>
    <col min="36" max="16384" width="9.28515625" style="9"/>
  </cols>
  <sheetData>
    <row r="1" spans="1:35" x14ac:dyDescent="0.25">
      <c r="C1" s="308"/>
      <c r="D1" s="308"/>
      <c r="E1" s="308"/>
      <c r="G1" s="308"/>
      <c r="H1" s="308"/>
      <c r="J1" s="308"/>
      <c r="K1" s="308"/>
      <c r="M1" s="308"/>
      <c r="N1" s="308"/>
      <c r="P1" s="308"/>
      <c r="Q1" s="308"/>
      <c r="S1" s="308"/>
      <c r="T1" s="308"/>
      <c r="V1" s="308"/>
      <c r="W1" s="308"/>
    </row>
    <row r="2" spans="1:35" x14ac:dyDescent="0.25">
      <c r="P2" s="550" t="s">
        <v>424</v>
      </c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371"/>
    </row>
    <row r="3" spans="1:35" ht="54" customHeight="1" x14ac:dyDescent="0.25">
      <c r="A3" s="102"/>
      <c r="B3" s="103"/>
      <c r="C3" s="551" t="s">
        <v>353</v>
      </c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417"/>
    </row>
    <row r="4" spans="1:35" ht="54" customHeight="1" x14ac:dyDescent="0.25">
      <c r="A4" s="346" t="s">
        <v>53</v>
      </c>
      <c r="B4" s="346" t="s">
        <v>61</v>
      </c>
      <c r="C4" s="418" t="s">
        <v>54</v>
      </c>
      <c r="D4" s="555" t="s">
        <v>55</v>
      </c>
      <c r="E4" s="556"/>
      <c r="F4" s="421"/>
      <c r="G4" s="555" t="s">
        <v>56</v>
      </c>
      <c r="H4" s="556"/>
      <c r="I4" s="421"/>
      <c r="J4" s="555" t="s">
        <v>63</v>
      </c>
      <c r="K4" s="556"/>
      <c r="L4" s="421"/>
      <c r="M4" s="555" t="s">
        <v>65</v>
      </c>
      <c r="N4" s="556"/>
      <c r="O4" s="421"/>
      <c r="P4" s="555" t="s">
        <v>66</v>
      </c>
      <c r="Q4" s="556"/>
      <c r="R4" s="421"/>
      <c r="S4" s="555" t="s">
        <v>67</v>
      </c>
      <c r="T4" s="556"/>
      <c r="U4" s="421"/>
      <c r="V4" s="555" t="s">
        <v>68</v>
      </c>
      <c r="W4" s="556"/>
      <c r="X4" s="421"/>
      <c r="Y4" s="555" t="s">
        <v>99</v>
      </c>
      <c r="Z4" s="556"/>
      <c r="AA4" s="421"/>
      <c r="AB4" s="555" t="s">
        <v>93</v>
      </c>
      <c r="AC4" s="556"/>
      <c r="AD4" s="420"/>
      <c r="AE4" s="556" t="s">
        <v>180</v>
      </c>
      <c r="AF4" s="556"/>
      <c r="AG4" s="556"/>
      <c r="AH4" s="556"/>
      <c r="AI4" s="419"/>
    </row>
    <row r="5" spans="1:35" ht="45" customHeight="1" x14ac:dyDescent="0.25">
      <c r="A5" s="101" t="s">
        <v>185</v>
      </c>
      <c r="B5" s="309" t="s">
        <v>96</v>
      </c>
      <c r="C5" s="380" t="s">
        <v>70</v>
      </c>
      <c r="D5" s="552" t="s">
        <v>41</v>
      </c>
      <c r="E5" s="553"/>
      <c r="F5" s="405"/>
      <c r="G5" s="552" t="s">
        <v>100</v>
      </c>
      <c r="H5" s="553"/>
      <c r="I5" s="405"/>
      <c r="J5" s="552" t="s">
        <v>42</v>
      </c>
      <c r="K5" s="553"/>
      <c r="L5" s="405"/>
      <c r="M5" s="552" t="s">
        <v>101</v>
      </c>
      <c r="N5" s="553"/>
      <c r="O5" s="405"/>
      <c r="P5" s="552" t="s">
        <v>114</v>
      </c>
      <c r="Q5" s="553"/>
      <c r="R5" s="405"/>
      <c r="S5" s="552" t="s">
        <v>45</v>
      </c>
      <c r="T5" s="553"/>
      <c r="U5" s="405"/>
      <c r="V5" s="552" t="s">
        <v>46</v>
      </c>
      <c r="W5" s="553"/>
      <c r="X5" s="405"/>
      <c r="Y5" s="552" t="s">
        <v>104</v>
      </c>
      <c r="Z5" s="553"/>
      <c r="AA5" s="405"/>
      <c r="AB5" s="552" t="s">
        <v>109</v>
      </c>
      <c r="AC5" s="553"/>
      <c r="AD5" s="370"/>
      <c r="AE5" s="554" t="s">
        <v>84</v>
      </c>
      <c r="AF5" s="554"/>
      <c r="AG5" s="554"/>
      <c r="AH5" s="554"/>
      <c r="AI5" s="385"/>
    </row>
    <row r="6" spans="1:35" ht="51" customHeight="1" x14ac:dyDescent="0.25">
      <c r="A6" s="11" t="s">
        <v>1</v>
      </c>
      <c r="B6" s="16"/>
      <c r="C6" s="13" t="s">
        <v>90</v>
      </c>
      <c r="D6" s="387" t="s">
        <v>354</v>
      </c>
      <c r="E6" s="374" t="s">
        <v>345</v>
      </c>
      <c r="F6" s="374" t="s">
        <v>410</v>
      </c>
      <c r="G6" s="387" t="s">
        <v>354</v>
      </c>
      <c r="H6" s="374" t="s">
        <v>345</v>
      </c>
      <c r="I6" s="374" t="s">
        <v>410</v>
      </c>
      <c r="J6" s="387" t="s">
        <v>354</v>
      </c>
      <c r="K6" s="374" t="s">
        <v>345</v>
      </c>
      <c r="L6" s="374" t="s">
        <v>410</v>
      </c>
      <c r="M6" s="387" t="s">
        <v>354</v>
      </c>
      <c r="N6" s="374" t="s">
        <v>345</v>
      </c>
      <c r="O6" s="374" t="s">
        <v>413</v>
      </c>
      <c r="P6" s="387" t="s">
        <v>354</v>
      </c>
      <c r="Q6" s="374" t="s">
        <v>345</v>
      </c>
      <c r="R6" s="374" t="s">
        <v>410</v>
      </c>
      <c r="S6" s="387" t="s">
        <v>354</v>
      </c>
      <c r="T6" s="374" t="s">
        <v>345</v>
      </c>
      <c r="U6" s="374" t="s">
        <v>410</v>
      </c>
      <c r="V6" s="387" t="s">
        <v>354</v>
      </c>
      <c r="W6" s="374" t="s">
        <v>345</v>
      </c>
      <c r="X6" s="374" t="s">
        <v>410</v>
      </c>
      <c r="Y6" s="387" t="s">
        <v>354</v>
      </c>
      <c r="Z6" s="374" t="s">
        <v>345</v>
      </c>
      <c r="AA6" s="374" t="s">
        <v>410</v>
      </c>
      <c r="AB6" s="387" t="s">
        <v>354</v>
      </c>
      <c r="AC6" s="374" t="s">
        <v>345</v>
      </c>
      <c r="AD6" s="374" t="s">
        <v>410</v>
      </c>
      <c r="AE6" s="387" t="s">
        <v>354</v>
      </c>
      <c r="AF6" s="374" t="s">
        <v>345</v>
      </c>
      <c r="AG6" s="387" t="s">
        <v>354</v>
      </c>
      <c r="AH6" s="374" t="s">
        <v>345</v>
      </c>
      <c r="AI6" s="374" t="s">
        <v>410</v>
      </c>
    </row>
    <row r="7" spans="1:35" x14ac:dyDescent="0.25">
      <c r="A7" s="11" t="s">
        <v>3</v>
      </c>
      <c r="B7" s="16" t="s">
        <v>78</v>
      </c>
      <c r="C7" s="10" t="s">
        <v>230</v>
      </c>
      <c r="D7" s="105">
        <v>58964950</v>
      </c>
      <c r="E7" s="105">
        <f>4321856+174384+D7</f>
        <v>63461190</v>
      </c>
      <c r="F7" s="105">
        <v>26215391</v>
      </c>
      <c r="G7" s="105">
        <v>7706255</v>
      </c>
      <c r="H7" s="88">
        <f>561841+G7</f>
        <v>8268096</v>
      </c>
      <c r="I7" s="88">
        <v>3513014</v>
      </c>
      <c r="J7" s="88">
        <v>46749550</v>
      </c>
      <c r="K7" s="79">
        <f>J7</f>
        <v>46749550</v>
      </c>
      <c r="L7" s="79">
        <v>22410719</v>
      </c>
      <c r="M7" s="88"/>
      <c r="N7" s="88"/>
      <c r="O7" s="88"/>
      <c r="P7" s="88"/>
      <c r="Q7" s="88"/>
      <c r="R7" s="88"/>
      <c r="S7" s="88">
        <v>3810002</v>
      </c>
      <c r="T7" s="79">
        <f>S7</f>
        <v>3810002</v>
      </c>
      <c r="U7" s="79">
        <v>331090</v>
      </c>
      <c r="V7" s="88">
        <v>300000</v>
      </c>
      <c r="W7" s="88">
        <f>V7</f>
        <v>300000</v>
      </c>
      <c r="X7" s="88"/>
      <c r="Y7" s="88"/>
      <c r="Z7" s="88"/>
      <c r="AA7" s="88"/>
      <c r="AB7" s="88"/>
      <c r="AC7" s="88"/>
      <c r="AD7" s="88"/>
      <c r="AE7" s="328">
        <f t="shared" ref="AE7:AE13" si="0">AB7+Y7+V7+S7+P7+M7+J7+G7+D7</f>
        <v>117530757</v>
      </c>
      <c r="AF7" s="422">
        <v>63126</v>
      </c>
      <c r="AG7" s="423">
        <f>58896+3200</f>
        <v>62096</v>
      </c>
      <c r="AH7" s="329">
        <f>E7+H7+K7+N7+Q7+T7+W7+Z7+AC7</f>
        <v>122588838</v>
      </c>
      <c r="AI7" s="422">
        <f>F7+I7+L7+O7+R7+U7+X7+AA7+AD7</f>
        <v>52470214</v>
      </c>
    </row>
    <row r="8" spans="1:35" s="308" customFormat="1" x14ac:dyDescent="0.25">
      <c r="A8" s="11" t="s">
        <v>4</v>
      </c>
      <c r="B8" s="16" t="s">
        <v>78</v>
      </c>
      <c r="C8" s="10" t="s">
        <v>233</v>
      </c>
      <c r="D8" s="105">
        <v>61412155</v>
      </c>
      <c r="E8" s="105">
        <f>4983052+D8</f>
        <v>66395207</v>
      </c>
      <c r="F8" s="105">
        <v>35146648</v>
      </c>
      <c r="G8" s="105">
        <v>8473504</v>
      </c>
      <c r="H8" s="88">
        <f>647797+G8</f>
        <v>9121301</v>
      </c>
      <c r="I8" s="88">
        <v>4647216</v>
      </c>
      <c r="J8" s="88">
        <v>41081364</v>
      </c>
      <c r="K8" s="79">
        <f>6350000+J8</f>
        <v>47431364</v>
      </c>
      <c r="L8" s="79">
        <v>23208552</v>
      </c>
      <c r="M8" s="88"/>
      <c r="N8" s="88"/>
      <c r="O8" s="88"/>
      <c r="P8" s="88"/>
      <c r="Q8" s="88"/>
      <c r="R8" s="88"/>
      <c r="S8" s="88"/>
      <c r="T8" s="79">
        <f t="shared" ref="T8:T13" si="1">S8</f>
        <v>0</v>
      </c>
      <c r="U8" s="79">
        <v>37560</v>
      </c>
      <c r="V8" s="88">
        <v>7000000</v>
      </c>
      <c r="W8" s="88">
        <f>-6350000+V8</f>
        <v>650000</v>
      </c>
      <c r="X8" s="88"/>
      <c r="Y8" s="88"/>
      <c r="Z8" s="88"/>
      <c r="AA8" s="88"/>
      <c r="AB8" s="88"/>
      <c r="AC8" s="88"/>
      <c r="AD8" s="88"/>
      <c r="AE8" s="328">
        <f t="shared" si="0"/>
        <v>117967023</v>
      </c>
      <c r="AF8" s="422"/>
      <c r="AG8" s="423"/>
      <c r="AH8" s="329">
        <f>E8+H8+K8+N8+Q8+T8+W8+Z8+AC8</f>
        <v>123597872</v>
      </c>
      <c r="AI8" s="422">
        <f t="shared" ref="AI8:AI18" si="2">F8+I8+L8+O8+R8+U8+X8+AA8+AD8</f>
        <v>63039976</v>
      </c>
    </row>
    <row r="9" spans="1:35" x14ac:dyDescent="0.25">
      <c r="A9" s="11" t="s">
        <v>6</v>
      </c>
      <c r="B9" s="16" t="s">
        <v>77</v>
      </c>
      <c r="C9" s="10" t="s">
        <v>231</v>
      </c>
      <c r="D9" s="105">
        <v>3890505</v>
      </c>
      <c r="E9" s="105">
        <f>236007+D9</f>
        <v>4126512</v>
      </c>
      <c r="F9" s="105">
        <v>247995</v>
      </c>
      <c r="G9" s="105">
        <v>812463</v>
      </c>
      <c r="H9" s="88">
        <f>30681+G9</f>
        <v>843144</v>
      </c>
      <c r="I9" s="88">
        <v>430092</v>
      </c>
      <c r="J9" s="88">
        <v>1032680</v>
      </c>
      <c r="K9" s="79">
        <f>J9</f>
        <v>1032680</v>
      </c>
      <c r="L9" s="79">
        <v>348521</v>
      </c>
      <c r="M9" s="88"/>
      <c r="N9" s="88"/>
      <c r="O9" s="88"/>
      <c r="P9" s="88"/>
      <c r="Q9" s="88"/>
      <c r="R9" s="88"/>
      <c r="S9" s="88">
        <v>60000</v>
      </c>
      <c r="T9" s="79">
        <f t="shared" si="1"/>
        <v>60000</v>
      </c>
      <c r="U9" s="79">
        <v>23060</v>
      </c>
      <c r="V9" s="88"/>
      <c r="W9" s="88"/>
      <c r="X9" s="88"/>
      <c r="Y9" s="88"/>
      <c r="Z9" s="88"/>
      <c r="AA9" s="88"/>
      <c r="AB9" s="88"/>
      <c r="AC9" s="88"/>
      <c r="AD9" s="88"/>
      <c r="AE9" s="328">
        <f t="shared" si="0"/>
        <v>5795648</v>
      </c>
      <c r="AF9" s="422">
        <v>9158</v>
      </c>
      <c r="AG9" s="423">
        <v>8953</v>
      </c>
      <c r="AH9" s="329">
        <f t="shared" ref="AH9:AH13" si="3">E9+H9+K9+N9+Q9+T9+W9+Z9+AC9</f>
        <v>6062336</v>
      </c>
      <c r="AI9" s="422">
        <f t="shared" si="2"/>
        <v>1049668</v>
      </c>
    </row>
    <row r="10" spans="1:35" x14ac:dyDescent="0.25">
      <c r="A10" s="11" t="s">
        <v>8</v>
      </c>
      <c r="B10" s="16" t="s">
        <v>77</v>
      </c>
      <c r="C10" s="10" t="s">
        <v>232</v>
      </c>
      <c r="D10" s="105">
        <v>3869205</v>
      </c>
      <c r="E10" s="105">
        <f>D10</f>
        <v>3869205</v>
      </c>
      <c r="F10" s="105">
        <v>2067667</v>
      </c>
      <c r="G10" s="105">
        <v>537385</v>
      </c>
      <c r="H10" s="88">
        <f>G10</f>
        <v>537385</v>
      </c>
      <c r="I10" s="88">
        <v>276266</v>
      </c>
      <c r="J10" s="88">
        <v>115811</v>
      </c>
      <c r="K10" s="79">
        <f>J10</f>
        <v>115811</v>
      </c>
      <c r="L10" s="79">
        <v>10030</v>
      </c>
      <c r="M10" s="88"/>
      <c r="N10" s="88"/>
      <c r="O10" s="88"/>
      <c r="P10" s="88"/>
      <c r="Q10" s="88"/>
      <c r="R10" s="88"/>
      <c r="S10" s="88"/>
      <c r="T10" s="79">
        <f t="shared" si="1"/>
        <v>0</v>
      </c>
      <c r="U10" s="79"/>
      <c r="V10" s="88"/>
      <c r="W10" s="88"/>
      <c r="X10" s="88"/>
      <c r="Y10" s="88"/>
      <c r="Z10" s="88"/>
      <c r="AA10" s="88"/>
      <c r="AB10" s="88"/>
      <c r="AC10" s="88"/>
      <c r="AD10" s="88"/>
      <c r="AE10" s="328">
        <f t="shared" si="0"/>
        <v>4522401</v>
      </c>
      <c r="AF10" s="422"/>
      <c r="AG10" s="423"/>
      <c r="AH10" s="329">
        <f t="shared" si="3"/>
        <v>4522401</v>
      </c>
      <c r="AI10" s="422">
        <f t="shared" si="2"/>
        <v>2353963</v>
      </c>
    </row>
    <row r="11" spans="1:35" x14ac:dyDescent="0.25">
      <c r="A11" s="11" t="s">
        <v>19</v>
      </c>
      <c r="B11" s="16" t="s">
        <v>77</v>
      </c>
      <c r="C11" s="10" t="s">
        <v>342</v>
      </c>
      <c r="D11" s="105">
        <v>893175</v>
      </c>
      <c r="E11" s="105">
        <f>D11</f>
        <v>893175</v>
      </c>
      <c r="F11" s="105">
        <v>1465872</v>
      </c>
      <c r="G11" s="105">
        <v>113000</v>
      </c>
      <c r="H11" s="88">
        <f>G11</f>
        <v>113000</v>
      </c>
      <c r="I11" s="88">
        <v>195912</v>
      </c>
      <c r="J11" s="88">
        <v>7384691</v>
      </c>
      <c r="K11" s="79">
        <f>J11</f>
        <v>7384691</v>
      </c>
      <c r="L11" s="79">
        <v>4770673</v>
      </c>
      <c r="M11" s="88"/>
      <c r="N11" s="88"/>
      <c r="O11" s="88"/>
      <c r="P11" s="88"/>
      <c r="Q11" s="88"/>
      <c r="R11" s="88"/>
      <c r="S11" s="88">
        <v>180000</v>
      </c>
      <c r="T11" s="79">
        <f t="shared" si="1"/>
        <v>180000</v>
      </c>
      <c r="U11" s="79"/>
      <c r="V11" s="88"/>
      <c r="W11" s="88"/>
      <c r="X11" s="88"/>
      <c r="Y11" s="88"/>
      <c r="Z11" s="88"/>
      <c r="AA11" s="88"/>
      <c r="AB11" s="88"/>
      <c r="AC11" s="88"/>
      <c r="AD11" s="88"/>
      <c r="AE11" s="328">
        <f t="shared" si="0"/>
        <v>8570866</v>
      </c>
      <c r="AF11" s="422">
        <v>15074</v>
      </c>
      <c r="AG11" s="423">
        <v>15183</v>
      </c>
      <c r="AH11" s="329">
        <f t="shared" si="3"/>
        <v>8570866</v>
      </c>
      <c r="AI11" s="422">
        <f t="shared" si="2"/>
        <v>6432457</v>
      </c>
    </row>
    <row r="12" spans="1:35" x14ac:dyDescent="0.25">
      <c r="A12" s="11" t="s">
        <v>21</v>
      </c>
      <c r="B12" s="16" t="s">
        <v>77</v>
      </c>
      <c r="C12" s="10" t="s">
        <v>234</v>
      </c>
      <c r="D12" s="110">
        <v>10831990</v>
      </c>
      <c r="E12" s="105">
        <f>610058+D12</f>
        <v>11442048</v>
      </c>
      <c r="F12" s="105">
        <v>5223776</v>
      </c>
      <c r="G12" s="105">
        <v>1423064</v>
      </c>
      <c r="H12" s="88">
        <f>79308+G12</f>
        <v>1502372</v>
      </c>
      <c r="I12" s="88">
        <v>699649</v>
      </c>
      <c r="J12" s="88">
        <v>155250</v>
      </c>
      <c r="K12" s="79">
        <f>J12</f>
        <v>155250</v>
      </c>
      <c r="L12" s="79">
        <v>44704</v>
      </c>
      <c r="M12" s="88"/>
      <c r="N12" s="88"/>
      <c r="O12" s="88"/>
      <c r="P12" s="88"/>
      <c r="Q12" s="88"/>
      <c r="R12" s="88"/>
      <c r="S12" s="88">
        <v>60000</v>
      </c>
      <c r="T12" s="79">
        <f t="shared" si="1"/>
        <v>60000</v>
      </c>
      <c r="U12" s="79"/>
      <c r="V12" s="88"/>
      <c r="W12" s="88"/>
      <c r="X12" s="88"/>
      <c r="Y12" s="88"/>
      <c r="Z12" s="88"/>
      <c r="AA12" s="88"/>
      <c r="AB12" s="88"/>
      <c r="AC12" s="88"/>
      <c r="AD12" s="88"/>
      <c r="AE12" s="328">
        <f t="shared" si="0"/>
        <v>12470304</v>
      </c>
      <c r="AF12" s="422">
        <v>6981</v>
      </c>
      <c r="AG12" s="423">
        <v>7395</v>
      </c>
      <c r="AH12" s="329">
        <f t="shared" si="3"/>
        <v>13159670</v>
      </c>
      <c r="AI12" s="422">
        <f t="shared" si="2"/>
        <v>5968129</v>
      </c>
    </row>
    <row r="13" spans="1:35" x14ac:dyDescent="0.25">
      <c r="A13" s="11" t="s">
        <v>22</v>
      </c>
      <c r="B13" s="16" t="s">
        <v>78</v>
      </c>
      <c r="C13" s="10" t="s">
        <v>355</v>
      </c>
      <c r="D13" s="110">
        <v>570000</v>
      </c>
      <c r="E13" s="105">
        <f>500000+D13</f>
        <v>1070000</v>
      </c>
      <c r="F13" s="105">
        <v>585000</v>
      </c>
      <c r="G13" s="105">
        <v>39175</v>
      </c>
      <c r="H13" s="88">
        <f>32500+G13</f>
        <v>71675</v>
      </c>
      <c r="I13" s="88">
        <v>39086</v>
      </c>
      <c r="J13" s="88">
        <v>50200</v>
      </c>
      <c r="K13" s="79">
        <f>J13</f>
        <v>50200</v>
      </c>
      <c r="L13" s="79">
        <v>317</v>
      </c>
      <c r="M13" s="88"/>
      <c r="N13" s="88"/>
      <c r="O13" s="88"/>
      <c r="P13" s="88"/>
      <c r="Q13" s="88"/>
      <c r="R13" s="88"/>
      <c r="S13" s="88"/>
      <c r="T13" s="79">
        <f t="shared" si="1"/>
        <v>0</v>
      </c>
      <c r="U13" s="79"/>
      <c r="V13" s="88"/>
      <c r="W13" s="88"/>
      <c r="X13" s="88"/>
      <c r="Y13" s="88"/>
      <c r="Z13" s="88"/>
      <c r="AA13" s="88"/>
      <c r="AB13" s="88"/>
      <c r="AC13" s="88"/>
      <c r="AD13" s="88"/>
      <c r="AE13" s="328">
        <f t="shared" si="0"/>
        <v>659375</v>
      </c>
      <c r="AF13" s="422"/>
      <c r="AG13" s="423"/>
      <c r="AH13" s="329">
        <f t="shared" si="3"/>
        <v>1191875</v>
      </c>
      <c r="AI13" s="422">
        <f t="shared" si="2"/>
        <v>624403</v>
      </c>
    </row>
    <row r="14" spans="1:35" x14ac:dyDescent="0.25">
      <c r="A14" s="11" t="s">
        <v>24</v>
      </c>
      <c r="B14" s="16"/>
      <c r="C14" s="62" t="s">
        <v>91</v>
      </c>
      <c r="D14" s="7">
        <f t="shared" ref="D14:AI14" si="4">SUM(D7:D13)</f>
        <v>140431980</v>
      </c>
      <c r="E14" s="7">
        <f t="shared" si="4"/>
        <v>151257337</v>
      </c>
      <c r="F14" s="7">
        <f t="shared" si="4"/>
        <v>70952349</v>
      </c>
      <c r="G14" s="7">
        <f t="shared" si="4"/>
        <v>19104846</v>
      </c>
      <c r="H14" s="7">
        <f t="shared" si="4"/>
        <v>20456973</v>
      </c>
      <c r="I14" s="7">
        <f t="shared" si="4"/>
        <v>9801235</v>
      </c>
      <c r="J14" s="7">
        <f t="shared" si="4"/>
        <v>96569546</v>
      </c>
      <c r="K14" s="7">
        <f t="shared" si="4"/>
        <v>102919546</v>
      </c>
      <c r="L14" s="7">
        <f t="shared" si="4"/>
        <v>50793516</v>
      </c>
      <c r="M14" s="7">
        <f t="shared" si="4"/>
        <v>0</v>
      </c>
      <c r="N14" s="7">
        <f t="shared" si="4"/>
        <v>0</v>
      </c>
      <c r="O14" s="7">
        <f t="shared" si="4"/>
        <v>0</v>
      </c>
      <c r="P14" s="7">
        <f t="shared" si="4"/>
        <v>0</v>
      </c>
      <c r="Q14" s="7">
        <f t="shared" si="4"/>
        <v>0</v>
      </c>
      <c r="R14" s="7">
        <f t="shared" si="4"/>
        <v>0</v>
      </c>
      <c r="S14" s="7">
        <f t="shared" si="4"/>
        <v>4110002</v>
      </c>
      <c r="T14" s="7">
        <f t="shared" si="4"/>
        <v>4110002</v>
      </c>
      <c r="U14" s="7">
        <f t="shared" si="4"/>
        <v>391710</v>
      </c>
      <c r="V14" s="7">
        <f t="shared" si="4"/>
        <v>7300000</v>
      </c>
      <c r="W14" s="7">
        <f t="shared" si="4"/>
        <v>950000</v>
      </c>
      <c r="X14" s="7">
        <f t="shared" si="4"/>
        <v>0</v>
      </c>
      <c r="Y14" s="7">
        <f t="shared" si="4"/>
        <v>0</v>
      </c>
      <c r="Z14" s="7">
        <f t="shared" si="4"/>
        <v>0</v>
      </c>
      <c r="AA14" s="7">
        <f t="shared" si="4"/>
        <v>0</v>
      </c>
      <c r="AB14" s="7">
        <f t="shared" si="4"/>
        <v>0</v>
      </c>
      <c r="AC14" s="7">
        <f t="shared" si="4"/>
        <v>0</v>
      </c>
      <c r="AD14" s="7">
        <f t="shared" si="4"/>
        <v>0</v>
      </c>
      <c r="AE14" s="328">
        <f t="shared" si="4"/>
        <v>267516374</v>
      </c>
      <c r="AF14" s="328">
        <f t="shared" si="4"/>
        <v>94339</v>
      </c>
      <c r="AG14" s="328">
        <f t="shared" si="4"/>
        <v>93627</v>
      </c>
      <c r="AH14" s="328">
        <f t="shared" si="4"/>
        <v>279693858</v>
      </c>
      <c r="AI14" s="328">
        <f t="shared" si="4"/>
        <v>131938810</v>
      </c>
    </row>
    <row r="15" spans="1:35" x14ac:dyDescent="0.25">
      <c r="A15" s="11" t="s">
        <v>25</v>
      </c>
      <c r="B15" s="16"/>
      <c r="C15" s="16" t="s">
        <v>82</v>
      </c>
      <c r="D15" s="61">
        <f t="shared" ref="D15:AI15" si="5">SUMIF($B7:$B13,"kötelező",D7:D13)</f>
        <v>19484875</v>
      </c>
      <c r="E15" s="61">
        <f t="shared" si="5"/>
        <v>20330940</v>
      </c>
      <c r="F15" s="61">
        <f t="shared" si="5"/>
        <v>9005310</v>
      </c>
      <c r="G15" s="61">
        <f t="shared" si="5"/>
        <v>2885912</v>
      </c>
      <c r="H15" s="61">
        <f t="shared" si="5"/>
        <v>2995901</v>
      </c>
      <c r="I15" s="61">
        <f t="shared" si="5"/>
        <v>1601919</v>
      </c>
      <c r="J15" s="61">
        <f t="shared" si="5"/>
        <v>8688432</v>
      </c>
      <c r="K15" s="61">
        <f t="shared" si="5"/>
        <v>8688432</v>
      </c>
      <c r="L15" s="61">
        <f t="shared" si="5"/>
        <v>5173928</v>
      </c>
      <c r="M15" s="61">
        <f t="shared" si="5"/>
        <v>0</v>
      </c>
      <c r="N15" s="61">
        <f t="shared" si="5"/>
        <v>0</v>
      </c>
      <c r="O15" s="61">
        <f t="shared" si="5"/>
        <v>0</v>
      </c>
      <c r="P15" s="61">
        <f t="shared" si="5"/>
        <v>0</v>
      </c>
      <c r="Q15" s="61">
        <f t="shared" si="5"/>
        <v>0</v>
      </c>
      <c r="R15" s="61">
        <f t="shared" si="5"/>
        <v>0</v>
      </c>
      <c r="S15" s="61">
        <f t="shared" si="5"/>
        <v>300000</v>
      </c>
      <c r="T15" s="61">
        <f t="shared" si="5"/>
        <v>300000</v>
      </c>
      <c r="U15" s="61">
        <f t="shared" si="5"/>
        <v>23060</v>
      </c>
      <c r="V15" s="61">
        <f t="shared" si="5"/>
        <v>0</v>
      </c>
      <c r="W15" s="61">
        <f t="shared" si="5"/>
        <v>0</v>
      </c>
      <c r="X15" s="61">
        <f t="shared" si="5"/>
        <v>0</v>
      </c>
      <c r="Y15" s="61">
        <f t="shared" si="5"/>
        <v>0</v>
      </c>
      <c r="Z15" s="61">
        <f t="shared" si="5"/>
        <v>0</v>
      </c>
      <c r="AA15" s="61">
        <f t="shared" si="5"/>
        <v>0</v>
      </c>
      <c r="AB15" s="61">
        <f t="shared" si="5"/>
        <v>0</v>
      </c>
      <c r="AC15" s="61">
        <f t="shared" si="5"/>
        <v>0</v>
      </c>
      <c r="AD15" s="61">
        <f t="shared" si="5"/>
        <v>0</v>
      </c>
      <c r="AE15" s="61">
        <f t="shared" si="5"/>
        <v>31359219</v>
      </c>
      <c r="AF15" s="61">
        <f t="shared" si="5"/>
        <v>31213</v>
      </c>
      <c r="AG15" s="61">
        <f t="shared" si="5"/>
        <v>31531</v>
      </c>
      <c r="AH15" s="61">
        <f t="shared" si="5"/>
        <v>32315273</v>
      </c>
      <c r="AI15" s="61">
        <f t="shared" si="5"/>
        <v>15804217</v>
      </c>
    </row>
    <row r="16" spans="1:35" x14ac:dyDescent="0.25">
      <c r="A16" s="11" t="s">
        <v>26</v>
      </c>
      <c r="B16" s="16"/>
      <c r="C16" s="16" t="s">
        <v>83</v>
      </c>
      <c r="D16" s="61">
        <f t="shared" ref="D16:AI16" si="6">SUMIF($B7:$B13,"nem kötelező",D7:D13)</f>
        <v>120947105</v>
      </c>
      <c r="E16" s="61">
        <f t="shared" si="6"/>
        <v>130926397</v>
      </c>
      <c r="F16" s="61">
        <f t="shared" si="6"/>
        <v>61947039</v>
      </c>
      <c r="G16" s="61">
        <f t="shared" si="6"/>
        <v>16218934</v>
      </c>
      <c r="H16" s="61">
        <f t="shared" si="6"/>
        <v>17461072</v>
      </c>
      <c r="I16" s="61">
        <f t="shared" si="6"/>
        <v>8199316</v>
      </c>
      <c r="J16" s="61">
        <f t="shared" si="6"/>
        <v>87881114</v>
      </c>
      <c r="K16" s="61">
        <f t="shared" si="6"/>
        <v>94231114</v>
      </c>
      <c r="L16" s="61">
        <f t="shared" si="6"/>
        <v>45619588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  <c r="Q16" s="61">
        <f t="shared" si="6"/>
        <v>0</v>
      </c>
      <c r="R16" s="61">
        <f t="shared" si="6"/>
        <v>0</v>
      </c>
      <c r="S16" s="61">
        <f t="shared" si="6"/>
        <v>3810002</v>
      </c>
      <c r="T16" s="61">
        <f t="shared" si="6"/>
        <v>3810002</v>
      </c>
      <c r="U16" s="61">
        <f t="shared" si="6"/>
        <v>368650</v>
      </c>
      <c r="V16" s="61">
        <f t="shared" si="6"/>
        <v>7300000</v>
      </c>
      <c r="W16" s="61">
        <f t="shared" si="6"/>
        <v>950000</v>
      </c>
      <c r="X16" s="61">
        <f t="shared" si="6"/>
        <v>0</v>
      </c>
      <c r="Y16" s="61">
        <f t="shared" si="6"/>
        <v>0</v>
      </c>
      <c r="Z16" s="61">
        <f t="shared" si="6"/>
        <v>0</v>
      </c>
      <c r="AA16" s="61">
        <f t="shared" si="6"/>
        <v>0</v>
      </c>
      <c r="AB16" s="61">
        <f t="shared" si="6"/>
        <v>0</v>
      </c>
      <c r="AC16" s="61">
        <f t="shared" si="6"/>
        <v>0</v>
      </c>
      <c r="AD16" s="61">
        <f t="shared" si="6"/>
        <v>0</v>
      </c>
      <c r="AE16" s="61">
        <f t="shared" si="6"/>
        <v>236157155</v>
      </c>
      <c r="AF16" s="61">
        <f t="shared" si="6"/>
        <v>63126</v>
      </c>
      <c r="AG16" s="61">
        <f t="shared" si="6"/>
        <v>62096</v>
      </c>
      <c r="AH16" s="61">
        <f t="shared" si="6"/>
        <v>247378585</v>
      </c>
      <c r="AI16" s="61">
        <f t="shared" si="6"/>
        <v>116134593</v>
      </c>
    </row>
    <row r="17" spans="1:35" x14ac:dyDescent="0.25">
      <c r="A17" s="11" t="s">
        <v>28</v>
      </c>
      <c r="B17" s="16"/>
      <c r="C17" s="16" t="s">
        <v>111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329">
        <v>31</v>
      </c>
      <c r="AF17" s="329">
        <v>30</v>
      </c>
      <c r="AG17" s="329">
        <v>30</v>
      </c>
      <c r="AH17" s="329">
        <v>31</v>
      </c>
      <c r="AI17" s="422">
        <f t="shared" si="2"/>
        <v>0</v>
      </c>
    </row>
    <row r="18" spans="1:35" x14ac:dyDescent="0.25">
      <c r="A18" s="11" t="s">
        <v>29</v>
      </c>
      <c r="B18" s="16"/>
      <c r="C18" s="16" t="s">
        <v>110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422">
        <v>0</v>
      </c>
      <c r="AF18" s="422">
        <v>0</v>
      </c>
      <c r="AG18" s="422">
        <v>0</v>
      </c>
      <c r="AH18" s="422">
        <v>0</v>
      </c>
      <c r="AI18" s="422">
        <f t="shared" si="2"/>
        <v>0</v>
      </c>
    </row>
    <row r="19" spans="1:35" x14ac:dyDescent="0.25">
      <c r="AH19" s="125"/>
    </row>
    <row r="20" spans="1:35" x14ac:dyDescent="0.25">
      <c r="K20" s="22"/>
      <c r="L20" s="22"/>
      <c r="AH20" s="125"/>
    </row>
    <row r="21" spans="1:35" x14ac:dyDescent="0.25">
      <c r="AE21" s="22"/>
    </row>
    <row r="22" spans="1:35" x14ac:dyDescent="0.25">
      <c r="AH22" s="125"/>
    </row>
  </sheetData>
  <mergeCells count="22">
    <mergeCell ref="AE4:AH4"/>
    <mergeCell ref="P4:Q4"/>
    <mergeCell ref="S4:T4"/>
    <mergeCell ref="V4:W4"/>
    <mergeCell ref="Y4:Z4"/>
    <mergeCell ref="AB4:AC4"/>
    <mergeCell ref="P2:Z2"/>
    <mergeCell ref="C3:AH3"/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H5"/>
    <mergeCell ref="D4:E4"/>
    <mergeCell ref="G4:H4"/>
    <mergeCell ref="J4:K4"/>
    <mergeCell ref="M4:N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G16"/>
  <sheetViews>
    <sheetView zoomScaleNormal="100" zoomScaleSheetLayoutView="100" workbookViewId="0">
      <selection activeCell="C2" sqref="C2:AF2"/>
    </sheetView>
  </sheetViews>
  <sheetFormatPr defaultColWidth="9.28515625" defaultRowHeight="15" x14ac:dyDescent="0.25"/>
  <cols>
    <col min="1" max="1" width="5.140625" style="9" customWidth="1"/>
    <col min="2" max="2" width="10" style="60" bestFit="1" customWidth="1"/>
    <col min="3" max="3" width="36" style="9" customWidth="1"/>
    <col min="4" max="5" width="12.7109375" style="9" customWidth="1"/>
    <col min="6" max="6" width="12.7109375" style="308" customWidth="1"/>
    <col min="7" max="8" width="12.7109375" style="9" customWidth="1"/>
    <col min="9" max="9" width="12.7109375" style="308" customWidth="1"/>
    <col min="10" max="11" width="12.7109375" style="9" customWidth="1"/>
    <col min="12" max="12" width="12.7109375" style="308" customWidth="1"/>
    <col min="13" max="13" width="9.7109375" style="9" customWidth="1"/>
    <col min="14" max="14" width="7.85546875" style="9" bestFit="1" customWidth="1"/>
    <col min="15" max="15" width="7.85546875" style="308" customWidth="1"/>
    <col min="16" max="16" width="9.85546875" style="9" customWidth="1"/>
    <col min="17" max="17" width="7.85546875" style="9" bestFit="1" customWidth="1"/>
    <col min="18" max="18" width="7.85546875" style="308" customWidth="1"/>
    <col min="19" max="19" width="9.85546875" style="9" customWidth="1"/>
    <col min="20" max="20" width="10.140625" style="9" bestFit="1" customWidth="1"/>
    <col min="21" max="21" width="10.140625" style="308" customWidth="1"/>
    <col min="22" max="22" width="9.5703125" style="9" customWidth="1"/>
    <col min="23" max="23" width="7.85546875" style="9" bestFit="1" customWidth="1"/>
    <col min="24" max="24" width="7.85546875" style="308" customWidth="1"/>
    <col min="25" max="25" width="10" style="9" customWidth="1"/>
    <col min="26" max="26" width="7.85546875" style="9" bestFit="1" customWidth="1"/>
    <col min="27" max="27" width="7.85546875" style="308" customWidth="1"/>
    <col min="28" max="28" width="9.42578125" style="9" customWidth="1"/>
    <col min="29" max="29" width="7.85546875" style="9" bestFit="1" customWidth="1"/>
    <col min="30" max="30" width="7.85546875" style="308" customWidth="1"/>
    <col min="31" max="31" width="12.7109375" style="9" customWidth="1"/>
    <col min="32" max="32" width="12.42578125" style="9" bestFit="1" customWidth="1"/>
    <col min="33" max="33" width="11.7109375" style="9" customWidth="1"/>
    <col min="34" max="16384" width="9.28515625" style="9"/>
  </cols>
  <sheetData>
    <row r="1" spans="1:33" x14ac:dyDescent="0.25">
      <c r="D1" s="308"/>
      <c r="E1" s="308"/>
      <c r="G1" s="308"/>
      <c r="H1" s="308"/>
      <c r="J1" s="308"/>
      <c r="K1" s="308"/>
      <c r="M1" s="308"/>
      <c r="N1" s="308"/>
      <c r="P1" s="308"/>
      <c r="Q1" s="308"/>
      <c r="S1" s="308" t="s">
        <v>425</v>
      </c>
      <c r="T1" s="308"/>
    </row>
    <row r="2" spans="1:33" ht="42" customHeight="1" x14ac:dyDescent="0.25">
      <c r="A2" s="102"/>
      <c r="B2" s="103"/>
      <c r="C2" s="551" t="s">
        <v>347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</row>
    <row r="3" spans="1:33" ht="42" customHeight="1" x14ac:dyDescent="0.25">
      <c r="A3" s="37" t="s">
        <v>53</v>
      </c>
      <c r="B3" s="37" t="s">
        <v>61</v>
      </c>
      <c r="C3" s="433" t="s">
        <v>54</v>
      </c>
      <c r="D3" s="558" t="s">
        <v>55</v>
      </c>
      <c r="E3" s="559"/>
      <c r="F3" s="434"/>
      <c r="G3" s="558" t="s">
        <v>56</v>
      </c>
      <c r="H3" s="559"/>
      <c r="I3" s="434"/>
      <c r="J3" s="558" t="s">
        <v>63</v>
      </c>
      <c r="K3" s="559"/>
      <c r="L3" s="434"/>
      <c r="M3" s="558" t="s">
        <v>65</v>
      </c>
      <c r="N3" s="559"/>
      <c r="O3" s="434"/>
      <c r="P3" s="558" t="s">
        <v>66</v>
      </c>
      <c r="Q3" s="559"/>
      <c r="R3" s="434"/>
      <c r="S3" s="558" t="s">
        <v>67</v>
      </c>
      <c r="T3" s="559"/>
      <c r="U3" s="434"/>
      <c r="V3" s="558" t="s">
        <v>68</v>
      </c>
      <c r="W3" s="559"/>
      <c r="X3" s="434"/>
      <c r="Y3" s="558" t="s">
        <v>99</v>
      </c>
      <c r="Z3" s="559"/>
      <c r="AA3" s="434"/>
      <c r="AB3" s="560" t="s">
        <v>93</v>
      </c>
      <c r="AC3" s="561"/>
      <c r="AD3" s="435"/>
      <c r="AE3" s="558" t="s">
        <v>180</v>
      </c>
      <c r="AF3" s="559"/>
      <c r="AG3" s="419"/>
    </row>
    <row r="4" spans="1:33" ht="56.25" customHeight="1" x14ac:dyDescent="0.25">
      <c r="A4" s="101" t="s">
        <v>185</v>
      </c>
      <c r="B4" s="100" t="s">
        <v>96</v>
      </c>
      <c r="C4" s="380" t="s">
        <v>70</v>
      </c>
      <c r="D4" s="552" t="s">
        <v>41</v>
      </c>
      <c r="E4" s="553"/>
      <c r="F4" s="405"/>
      <c r="G4" s="552" t="s">
        <v>100</v>
      </c>
      <c r="H4" s="553"/>
      <c r="I4" s="405"/>
      <c r="J4" s="552" t="s">
        <v>42</v>
      </c>
      <c r="K4" s="553"/>
      <c r="L4" s="405"/>
      <c r="M4" s="552" t="s">
        <v>101</v>
      </c>
      <c r="N4" s="553"/>
      <c r="O4" s="405"/>
      <c r="P4" s="552" t="s">
        <v>43</v>
      </c>
      <c r="Q4" s="553"/>
      <c r="R4" s="405"/>
      <c r="S4" s="552" t="s">
        <v>45</v>
      </c>
      <c r="T4" s="553"/>
      <c r="U4" s="405"/>
      <c r="V4" s="552" t="s">
        <v>46</v>
      </c>
      <c r="W4" s="553"/>
      <c r="X4" s="405"/>
      <c r="Y4" s="552" t="s">
        <v>104</v>
      </c>
      <c r="Z4" s="553"/>
      <c r="AA4" s="405"/>
      <c r="AB4" s="552" t="s">
        <v>109</v>
      </c>
      <c r="AC4" s="553"/>
      <c r="AD4" s="405"/>
      <c r="AE4" s="557" t="s">
        <v>84</v>
      </c>
      <c r="AF4" s="554"/>
      <c r="AG4" s="385"/>
    </row>
    <row r="5" spans="1:33" ht="48.75" customHeight="1" x14ac:dyDescent="0.25">
      <c r="A5" s="11" t="s">
        <v>1</v>
      </c>
      <c r="B5" s="16"/>
      <c r="C5" s="13" t="s">
        <v>90</v>
      </c>
      <c r="D5" s="387" t="s">
        <v>344</v>
      </c>
      <c r="E5" s="374" t="s">
        <v>345</v>
      </c>
      <c r="F5" s="374" t="s">
        <v>410</v>
      </c>
      <c r="G5" s="387" t="s">
        <v>344</v>
      </c>
      <c r="H5" s="374" t="s">
        <v>345</v>
      </c>
      <c r="I5" s="374" t="s">
        <v>410</v>
      </c>
      <c r="J5" s="387" t="s">
        <v>344</v>
      </c>
      <c r="K5" s="374" t="s">
        <v>345</v>
      </c>
      <c r="L5" s="374" t="s">
        <v>410</v>
      </c>
      <c r="M5" s="387" t="s">
        <v>344</v>
      </c>
      <c r="N5" s="374" t="s">
        <v>345</v>
      </c>
      <c r="O5" s="374" t="s">
        <v>410</v>
      </c>
      <c r="P5" s="387" t="s">
        <v>344</v>
      </c>
      <c r="Q5" s="374" t="s">
        <v>345</v>
      </c>
      <c r="R5" s="374" t="s">
        <v>410</v>
      </c>
      <c r="S5" s="387" t="s">
        <v>344</v>
      </c>
      <c r="T5" s="374" t="s">
        <v>345</v>
      </c>
      <c r="U5" s="374" t="s">
        <v>410</v>
      </c>
      <c r="V5" s="387" t="s">
        <v>344</v>
      </c>
      <c r="W5" s="374" t="s">
        <v>345</v>
      </c>
      <c r="X5" s="374" t="s">
        <v>410</v>
      </c>
      <c r="Y5" s="387" t="s">
        <v>344</v>
      </c>
      <c r="Z5" s="374" t="s">
        <v>345</v>
      </c>
      <c r="AA5" s="374" t="s">
        <v>410</v>
      </c>
      <c r="AB5" s="387" t="s">
        <v>344</v>
      </c>
      <c r="AC5" s="374" t="s">
        <v>345</v>
      </c>
      <c r="AD5" s="374" t="s">
        <v>410</v>
      </c>
      <c r="AE5" s="387" t="s">
        <v>344</v>
      </c>
      <c r="AF5" s="374" t="s">
        <v>345</v>
      </c>
      <c r="AG5" s="374" t="s">
        <v>410</v>
      </c>
    </row>
    <row r="6" spans="1:33" s="42" customFormat="1" ht="33.75" customHeight="1" x14ac:dyDescent="0.25">
      <c r="A6" s="11" t="s">
        <v>3</v>
      </c>
      <c r="B6" s="104" t="s">
        <v>77</v>
      </c>
      <c r="C6" s="319" t="s">
        <v>332</v>
      </c>
      <c r="D6" s="79">
        <v>103549703</v>
      </c>
      <c r="E6" s="79">
        <f>D6</f>
        <v>103549703</v>
      </c>
      <c r="F6" s="79">
        <v>44021604</v>
      </c>
      <c r="G6" s="79">
        <v>13361491</v>
      </c>
      <c r="H6" s="79">
        <f>G6</f>
        <v>13361491</v>
      </c>
      <c r="I6" s="79">
        <v>5897371</v>
      </c>
      <c r="J6" s="79"/>
      <c r="K6" s="79">
        <f t="shared" ref="K6:K11" si="0">J6</f>
        <v>0</v>
      </c>
      <c r="L6" s="79">
        <v>20235</v>
      </c>
      <c r="M6" s="79"/>
      <c r="N6" s="79"/>
      <c r="O6" s="79"/>
      <c r="P6" s="79"/>
      <c r="Q6" s="79"/>
      <c r="R6" s="79"/>
      <c r="S6" s="79"/>
      <c r="T6" s="79"/>
      <c r="U6" s="79">
        <v>32500</v>
      </c>
      <c r="V6" s="79"/>
      <c r="W6" s="79"/>
      <c r="X6" s="79"/>
      <c r="Y6" s="79"/>
      <c r="Z6" s="79"/>
      <c r="AA6" s="79"/>
      <c r="AB6" s="79"/>
      <c r="AC6" s="79"/>
      <c r="AD6" s="79"/>
      <c r="AE6" s="411">
        <f t="shared" ref="AE6:AF11" si="1">D6+G6+J6+M6+P6+S6+V6+Y6</f>
        <v>116911194</v>
      </c>
      <c r="AF6" s="411">
        <f t="shared" si="1"/>
        <v>116911194</v>
      </c>
      <c r="AG6" s="127">
        <f>F6+I6+L6+O6+R6+U6+X6+AA6+AD6</f>
        <v>49971710</v>
      </c>
    </row>
    <row r="7" spans="1:33" s="42" customFormat="1" ht="36" customHeight="1" x14ac:dyDescent="0.25">
      <c r="A7" s="11" t="s">
        <v>4</v>
      </c>
      <c r="B7" s="104" t="s">
        <v>77</v>
      </c>
      <c r="C7" s="319" t="s">
        <v>333</v>
      </c>
      <c r="D7" s="79"/>
      <c r="E7" s="79">
        <v>82380</v>
      </c>
      <c r="F7" s="79">
        <v>366000</v>
      </c>
      <c r="G7" s="79"/>
      <c r="H7" s="79">
        <v>10709</v>
      </c>
      <c r="I7" s="79">
        <v>42822</v>
      </c>
      <c r="J7" s="79">
        <v>627000</v>
      </c>
      <c r="K7" s="79">
        <f t="shared" si="0"/>
        <v>627000</v>
      </c>
      <c r="L7" s="79">
        <v>729500</v>
      </c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411">
        <f t="shared" si="1"/>
        <v>627000</v>
      </c>
      <c r="AF7" s="411">
        <f t="shared" si="1"/>
        <v>720089</v>
      </c>
      <c r="AG7" s="127">
        <f t="shared" ref="AG7:AG14" si="2">F7+I7+L7+O7+R7+U7+X7+AA7+AD7</f>
        <v>1138322</v>
      </c>
    </row>
    <row r="8" spans="1:33" s="42" customFormat="1" ht="33.75" customHeight="1" x14ac:dyDescent="0.25">
      <c r="A8" s="11" t="s">
        <v>6</v>
      </c>
      <c r="B8" s="104" t="s">
        <v>77</v>
      </c>
      <c r="C8" s="319" t="s">
        <v>337</v>
      </c>
      <c r="D8" s="79"/>
      <c r="E8" s="79">
        <v>640000</v>
      </c>
      <c r="F8" s="79">
        <v>160000</v>
      </c>
      <c r="G8" s="79"/>
      <c r="H8" s="79">
        <v>83200</v>
      </c>
      <c r="I8" s="79">
        <v>18720</v>
      </c>
      <c r="J8" s="79">
        <v>8990805</v>
      </c>
      <c r="K8" s="79">
        <f t="shared" si="0"/>
        <v>8990805</v>
      </c>
      <c r="L8" s="79">
        <v>2694321</v>
      </c>
      <c r="M8" s="79"/>
      <c r="N8" s="79"/>
      <c r="O8" s="79"/>
      <c r="P8" s="79"/>
      <c r="Q8" s="79"/>
      <c r="R8" s="79"/>
      <c r="S8" s="79">
        <v>835000</v>
      </c>
      <c r="T8" s="79">
        <f>S8+157875+42626</f>
        <v>1035501</v>
      </c>
      <c r="U8" s="79">
        <v>838902</v>
      </c>
      <c r="V8" s="79"/>
      <c r="W8" s="79"/>
      <c r="X8" s="79"/>
      <c r="Y8" s="79"/>
      <c r="Z8" s="79"/>
      <c r="AA8" s="79"/>
      <c r="AB8" s="79"/>
      <c r="AC8" s="79"/>
      <c r="AD8" s="79"/>
      <c r="AE8" s="411">
        <f t="shared" si="1"/>
        <v>9825805</v>
      </c>
      <c r="AF8" s="411">
        <f t="shared" si="1"/>
        <v>10749506</v>
      </c>
      <c r="AG8" s="127">
        <f t="shared" si="2"/>
        <v>3711943</v>
      </c>
    </row>
    <row r="9" spans="1:33" s="42" customFormat="1" ht="33.75" customHeight="1" x14ac:dyDescent="0.25">
      <c r="A9" s="11" t="s">
        <v>8</v>
      </c>
      <c r="B9" s="104" t="s">
        <v>77</v>
      </c>
      <c r="C9" s="319" t="s">
        <v>334</v>
      </c>
      <c r="D9" s="79"/>
      <c r="E9" s="79"/>
      <c r="F9" s="79"/>
      <c r="G9" s="79"/>
      <c r="H9" s="79"/>
      <c r="I9" s="79"/>
      <c r="J9" s="79">
        <v>25172264</v>
      </c>
      <c r="K9" s="79">
        <f t="shared" si="0"/>
        <v>25172264</v>
      </c>
      <c r="L9" s="79">
        <v>12253566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411">
        <f t="shared" si="1"/>
        <v>25172264</v>
      </c>
      <c r="AF9" s="411">
        <f t="shared" si="1"/>
        <v>25172264</v>
      </c>
      <c r="AG9" s="127">
        <f t="shared" si="2"/>
        <v>12253566</v>
      </c>
    </row>
    <row r="10" spans="1:33" s="42" customFormat="1" ht="33.75" customHeight="1" x14ac:dyDescent="0.25">
      <c r="A10" s="11" t="s">
        <v>19</v>
      </c>
      <c r="B10" s="104" t="s">
        <v>77</v>
      </c>
      <c r="C10" s="319" t="s">
        <v>335</v>
      </c>
      <c r="D10" s="79">
        <v>23219468</v>
      </c>
      <c r="E10" s="79">
        <f>D10</f>
        <v>23219468</v>
      </c>
      <c r="F10" s="79">
        <v>11289045</v>
      </c>
      <c r="G10" s="79">
        <v>2980268</v>
      </c>
      <c r="H10" s="79">
        <f>G10</f>
        <v>2980268</v>
      </c>
      <c r="I10" s="79">
        <v>1503087</v>
      </c>
      <c r="J10" s="79">
        <v>1549600</v>
      </c>
      <c r="K10" s="79">
        <f t="shared" si="0"/>
        <v>1549600</v>
      </c>
      <c r="L10" s="79">
        <v>614646</v>
      </c>
      <c r="M10" s="79"/>
      <c r="N10" s="79"/>
      <c r="O10" s="79"/>
      <c r="P10" s="79"/>
      <c r="Q10" s="79"/>
      <c r="R10" s="79"/>
      <c r="S10" s="79">
        <v>41064</v>
      </c>
      <c r="T10" s="79">
        <f>S10</f>
        <v>41064</v>
      </c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411">
        <f t="shared" si="1"/>
        <v>27790400</v>
      </c>
      <c r="AF10" s="411">
        <f t="shared" si="1"/>
        <v>27790400</v>
      </c>
      <c r="AG10" s="127">
        <f t="shared" si="2"/>
        <v>13406778</v>
      </c>
    </row>
    <row r="11" spans="1:33" s="42" customFormat="1" ht="33.75" customHeight="1" x14ac:dyDescent="0.25">
      <c r="A11" s="11" t="s">
        <v>21</v>
      </c>
      <c r="B11" s="104" t="s">
        <v>77</v>
      </c>
      <c r="C11" s="319" t="s">
        <v>336</v>
      </c>
      <c r="D11" s="79"/>
      <c r="E11" s="79"/>
      <c r="F11" s="79"/>
      <c r="G11" s="79"/>
      <c r="H11" s="79"/>
      <c r="I11" s="79"/>
      <c r="J11" s="79">
        <v>4427068</v>
      </c>
      <c r="K11" s="79">
        <f t="shared" si="0"/>
        <v>4427068</v>
      </c>
      <c r="L11" s="79">
        <v>1956892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411">
        <f t="shared" si="1"/>
        <v>4427068</v>
      </c>
      <c r="AF11" s="411">
        <f t="shared" si="1"/>
        <v>4427068</v>
      </c>
      <c r="AG11" s="127">
        <f t="shared" si="2"/>
        <v>1956892</v>
      </c>
    </row>
    <row r="12" spans="1:33" x14ac:dyDescent="0.25">
      <c r="A12" s="11" t="s">
        <v>22</v>
      </c>
      <c r="B12" s="20"/>
      <c r="C12" s="91" t="s">
        <v>91</v>
      </c>
      <c r="D12" s="7">
        <f>SUM(D6:D11)</f>
        <v>126769171</v>
      </c>
      <c r="E12" s="7">
        <f t="shared" ref="E12:AG12" si="3">SUM(E6:E11)</f>
        <v>127491551</v>
      </c>
      <c r="F12" s="7">
        <f t="shared" si="3"/>
        <v>55836649</v>
      </c>
      <c r="G12" s="7">
        <f t="shared" si="3"/>
        <v>16341759</v>
      </c>
      <c r="H12" s="7">
        <f t="shared" si="3"/>
        <v>16435668</v>
      </c>
      <c r="I12" s="7">
        <f t="shared" si="3"/>
        <v>7462000</v>
      </c>
      <c r="J12" s="7">
        <f t="shared" si="3"/>
        <v>40766737</v>
      </c>
      <c r="K12" s="7">
        <f t="shared" si="3"/>
        <v>40766737</v>
      </c>
      <c r="L12" s="7">
        <f t="shared" si="3"/>
        <v>18269160</v>
      </c>
      <c r="M12" s="7">
        <f t="shared" si="3"/>
        <v>0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876064</v>
      </c>
      <c r="T12" s="7">
        <f t="shared" si="3"/>
        <v>1076565</v>
      </c>
      <c r="U12" s="7">
        <f t="shared" si="3"/>
        <v>871402</v>
      </c>
      <c r="V12" s="7">
        <f t="shared" si="3"/>
        <v>0</v>
      </c>
      <c r="W12" s="7">
        <f t="shared" si="3"/>
        <v>0</v>
      </c>
      <c r="X12" s="7">
        <f t="shared" si="3"/>
        <v>0</v>
      </c>
      <c r="Y12" s="7">
        <f t="shared" si="3"/>
        <v>0</v>
      </c>
      <c r="Z12" s="7">
        <f t="shared" si="3"/>
        <v>0</v>
      </c>
      <c r="AA12" s="7">
        <f t="shared" si="3"/>
        <v>0</v>
      </c>
      <c r="AB12" s="7">
        <f t="shared" si="3"/>
        <v>0</v>
      </c>
      <c r="AC12" s="7">
        <f t="shared" si="3"/>
        <v>0</v>
      </c>
      <c r="AD12" s="7">
        <f t="shared" si="3"/>
        <v>0</v>
      </c>
      <c r="AE12" s="7">
        <f t="shared" si="3"/>
        <v>184753731</v>
      </c>
      <c r="AF12" s="7">
        <f t="shared" si="3"/>
        <v>185770521</v>
      </c>
      <c r="AG12" s="7">
        <f t="shared" si="3"/>
        <v>82439211</v>
      </c>
    </row>
    <row r="13" spans="1:33" x14ac:dyDescent="0.25">
      <c r="A13" s="11" t="s">
        <v>24</v>
      </c>
      <c r="B13" s="20"/>
      <c r="C13" s="20" t="s">
        <v>82</v>
      </c>
      <c r="D13" s="61">
        <f>SUMIF($B6:$B11,"kötelező",D6:D11)</f>
        <v>126769171</v>
      </c>
      <c r="E13" s="61">
        <f t="shared" ref="E13:AG13" si="4">SUMIF($B6:$B11,"kötelező",E6:E11)</f>
        <v>127491551</v>
      </c>
      <c r="F13" s="61">
        <f t="shared" si="4"/>
        <v>55836649</v>
      </c>
      <c r="G13" s="61">
        <f t="shared" si="4"/>
        <v>16341759</v>
      </c>
      <c r="H13" s="61">
        <f t="shared" si="4"/>
        <v>16435668</v>
      </c>
      <c r="I13" s="61">
        <f t="shared" si="4"/>
        <v>7462000</v>
      </c>
      <c r="J13" s="61">
        <f t="shared" si="4"/>
        <v>40766737</v>
      </c>
      <c r="K13" s="61">
        <f t="shared" si="4"/>
        <v>40766737</v>
      </c>
      <c r="L13" s="61">
        <f t="shared" si="4"/>
        <v>18269160</v>
      </c>
      <c r="M13" s="61">
        <f t="shared" si="4"/>
        <v>0</v>
      </c>
      <c r="N13" s="61">
        <f t="shared" si="4"/>
        <v>0</v>
      </c>
      <c r="O13" s="61">
        <f t="shared" si="4"/>
        <v>0</v>
      </c>
      <c r="P13" s="61">
        <f t="shared" si="4"/>
        <v>0</v>
      </c>
      <c r="Q13" s="61">
        <f t="shared" si="4"/>
        <v>0</v>
      </c>
      <c r="R13" s="61">
        <f t="shared" si="4"/>
        <v>0</v>
      </c>
      <c r="S13" s="61">
        <f t="shared" si="4"/>
        <v>876064</v>
      </c>
      <c r="T13" s="61">
        <f t="shared" si="4"/>
        <v>1076565</v>
      </c>
      <c r="U13" s="61">
        <f t="shared" si="4"/>
        <v>871402</v>
      </c>
      <c r="V13" s="61">
        <f t="shared" si="4"/>
        <v>0</v>
      </c>
      <c r="W13" s="61">
        <f t="shared" si="4"/>
        <v>0</v>
      </c>
      <c r="X13" s="61">
        <f t="shared" si="4"/>
        <v>0</v>
      </c>
      <c r="Y13" s="61">
        <f t="shared" si="4"/>
        <v>0</v>
      </c>
      <c r="Z13" s="61">
        <f t="shared" si="4"/>
        <v>0</v>
      </c>
      <c r="AA13" s="61">
        <f t="shared" si="4"/>
        <v>0</v>
      </c>
      <c r="AB13" s="61">
        <f t="shared" si="4"/>
        <v>0</v>
      </c>
      <c r="AC13" s="61">
        <f t="shared" si="4"/>
        <v>0</v>
      </c>
      <c r="AD13" s="61">
        <f t="shared" si="4"/>
        <v>0</v>
      </c>
      <c r="AE13" s="61">
        <f t="shared" si="4"/>
        <v>184753731</v>
      </c>
      <c r="AF13" s="61">
        <f t="shared" si="4"/>
        <v>185770521</v>
      </c>
      <c r="AG13" s="61">
        <f t="shared" si="4"/>
        <v>82439211</v>
      </c>
    </row>
    <row r="14" spans="1:33" x14ac:dyDescent="0.25">
      <c r="A14" s="11" t="s">
        <v>25</v>
      </c>
      <c r="B14" s="20"/>
      <c r="C14" s="20" t="s">
        <v>83</v>
      </c>
      <c r="D14" s="61">
        <f>SUMIF($B6:$B10,"nem kötelező",D6:D10)</f>
        <v>0</v>
      </c>
      <c r="E14" s="61">
        <f t="shared" ref="E14:AF14" si="5">SUMIF($B6:$B10,"nem kötelező",E6:E10)</f>
        <v>0</v>
      </c>
      <c r="F14" s="61"/>
      <c r="G14" s="61">
        <f t="shared" si="5"/>
        <v>0</v>
      </c>
      <c r="H14" s="61">
        <f t="shared" si="5"/>
        <v>0</v>
      </c>
      <c r="I14" s="61"/>
      <c r="J14" s="61">
        <f t="shared" si="5"/>
        <v>0</v>
      </c>
      <c r="K14" s="61">
        <f t="shared" si="5"/>
        <v>0</v>
      </c>
      <c r="L14" s="61"/>
      <c r="M14" s="61">
        <f t="shared" si="5"/>
        <v>0</v>
      </c>
      <c r="N14" s="61">
        <f t="shared" si="5"/>
        <v>0</v>
      </c>
      <c r="O14" s="61"/>
      <c r="P14" s="61">
        <f t="shared" si="5"/>
        <v>0</v>
      </c>
      <c r="Q14" s="61">
        <f t="shared" si="5"/>
        <v>0</v>
      </c>
      <c r="R14" s="61"/>
      <c r="S14" s="61">
        <f t="shared" si="5"/>
        <v>0</v>
      </c>
      <c r="T14" s="61">
        <f t="shared" si="5"/>
        <v>0</v>
      </c>
      <c r="U14" s="61"/>
      <c r="V14" s="61">
        <f t="shared" si="5"/>
        <v>0</v>
      </c>
      <c r="W14" s="61">
        <f t="shared" si="5"/>
        <v>0</v>
      </c>
      <c r="X14" s="61"/>
      <c r="Y14" s="61">
        <f t="shared" si="5"/>
        <v>0</v>
      </c>
      <c r="Z14" s="61">
        <f t="shared" si="5"/>
        <v>0</v>
      </c>
      <c r="AA14" s="61"/>
      <c r="AB14" s="61">
        <f t="shared" si="5"/>
        <v>0</v>
      </c>
      <c r="AC14" s="61">
        <f t="shared" si="5"/>
        <v>0</v>
      </c>
      <c r="AD14" s="61"/>
      <c r="AE14" s="61">
        <f t="shared" si="5"/>
        <v>0</v>
      </c>
      <c r="AF14" s="61">
        <f t="shared" si="5"/>
        <v>0</v>
      </c>
      <c r="AG14" s="77">
        <f t="shared" si="2"/>
        <v>0</v>
      </c>
    </row>
    <row r="15" spans="1:33" x14ac:dyDescent="0.25">
      <c r="AF15" s="22"/>
    </row>
    <row r="16" spans="1:33" x14ac:dyDescent="0.25">
      <c r="AF16" s="22"/>
    </row>
  </sheetData>
  <mergeCells count="21">
    <mergeCell ref="C2:AF2"/>
    <mergeCell ref="D3:E3"/>
    <mergeCell ref="G3:H3"/>
    <mergeCell ref="J3:K3"/>
    <mergeCell ref="M3:N3"/>
    <mergeCell ref="AE3:AF3"/>
    <mergeCell ref="P3:Q3"/>
    <mergeCell ref="S3:T3"/>
    <mergeCell ref="V3:W3"/>
    <mergeCell ref="Y3:Z3"/>
    <mergeCell ref="AB3:AC3"/>
    <mergeCell ref="S4:T4"/>
    <mergeCell ref="V4:W4"/>
    <mergeCell ref="Y4:Z4"/>
    <mergeCell ref="AB4:AC4"/>
    <mergeCell ref="AE4:AF4"/>
    <mergeCell ref="D4:E4"/>
    <mergeCell ref="G4:H4"/>
    <mergeCell ref="J4:K4"/>
    <mergeCell ref="M4:N4"/>
    <mergeCell ref="P4:Q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'10.melléklet.létszám'!Nyomtatási_terület</vt:lpstr>
      <vt:lpstr>'12.melléklet.Int.pénzellát.'!Nyomtatási_terület</vt:lpstr>
      <vt:lpstr>'13.melléklet.pénzeszköz át.'!Nyomtatási_terület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2022-08-30T13:11:15Z</dcterms:modified>
</cp:coreProperties>
</file>